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Z:\Project Files\02. Pipeline Projects\22-10 La Mesa - Spring Street Station\08. Funding\8.5 CDLAC\3. 2024 CDLAC Round 2\2. Draft Application\"/>
    </mc:Choice>
  </mc:AlternateContent>
  <xr:revisionPtr revIDLastSave="0" documentId="13_ncr:1_{AF14BC65-68CB-4C3C-888B-765B55E1A2BA}" xr6:coauthVersionLast="47" xr6:coauthVersionMax="47" xr10:uidLastSave="{00000000-0000-0000-0000-000000000000}"/>
  <bookViews>
    <workbookView xWindow="-120" yWindow="-120" windowWidth="29040" windowHeight="15720" firstSheet="2"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640" i="3" l="1"/>
  <c r="AM556" i="3"/>
  <c r="E30" i="4"/>
  <c r="F30" i="4"/>
  <c r="G53" i="7"/>
  <c r="I13" i="21"/>
  <c r="C53" i="4" l="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I18" i="8"/>
  <c r="J18" i="8" s="1"/>
  <c r="J17" i="8"/>
  <c r="I17" i="8"/>
  <c r="J16" i="8"/>
  <c r="I16" i="8"/>
  <c r="J15" i="8"/>
  <c r="I15" i="8"/>
  <c r="J14" i="8"/>
  <c r="I14" i="8"/>
  <c r="J13" i="8"/>
  <c r="I13" i="8"/>
  <c r="I12" i="8"/>
  <c r="J12" i="8" s="1"/>
  <c r="J11" i="8"/>
  <c r="I11" i="8"/>
  <c r="J10" i="8"/>
  <c r="I10" i="8"/>
  <c r="J9" i="8"/>
  <c r="I9" i="8"/>
  <c r="I8" i="8"/>
  <c r="J8" i="8" s="1"/>
  <c r="I7" i="8"/>
  <c r="J7" i="8" s="1"/>
  <c r="J6" i="8"/>
  <c r="I6" i="8"/>
  <c r="I5" i="8"/>
  <c r="J5" i="8" s="1"/>
  <c r="I4" i="8"/>
  <c r="J4" i="8" s="1"/>
  <c r="AH750" i="3"/>
  <c r="AH749" i="3"/>
  <c r="AH748" i="3"/>
  <c r="AH747" i="3"/>
  <c r="AH746" i="3"/>
  <c r="AH745" i="3"/>
  <c r="AH744" i="3"/>
  <c r="AH743" i="3"/>
  <c r="AH741" i="3"/>
  <c r="AH740" i="3"/>
  <c r="AH739" i="3"/>
  <c r="AH735" i="3"/>
  <c r="AH734" i="3"/>
  <c r="AH733" i="3"/>
  <c r="AH732" i="3"/>
  <c r="AH731" i="3"/>
  <c r="AH729" i="3"/>
  <c r="AH728" i="3"/>
  <c r="AH727" i="3"/>
  <c r="AH726" i="3"/>
  <c r="AH723" i="3"/>
  <c r="AH722" i="3"/>
  <c r="AH721" i="3"/>
  <c r="AH720" i="3"/>
  <c r="AH719" i="3"/>
  <c r="AH718"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M37" i="21"/>
  <c r="M38" i="2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D86" i="11" s="1"/>
  <c r="C87" i="11"/>
  <c r="C88" i="11"/>
  <c r="C89" i="11"/>
  <c r="C90" i="11"/>
  <c r="C91" i="11"/>
  <c r="C92" i="11"/>
  <c r="D92" i="11" s="1"/>
  <c r="C93" i="11"/>
  <c r="C94" i="11"/>
  <c r="C95" i="11"/>
  <c r="C96" i="11"/>
  <c r="B85" i="11"/>
  <c r="B86" i="11"/>
  <c r="B87" i="11"/>
  <c r="B88" i="11"/>
  <c r="B89" i="11"/>
  <c r="B90" i="11"/>
  <c r="B91" i="11"/>
  <c r="B92" i="11"/>
  <c r="B93" i="11"/>
  <c r="B94" i="11"/>
  <c r="B95" i="11"/>
  <c r="B96" i="11"/>
  <c r="A70" i="11"/>
  <c r="C67" i="11"/>
  <c r="C68" i="11"/>
  <c r="C69" i="11"/>
  <c r="C70" i="11"/>
  <c r="D70" i="11" s="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C27" i="11" s="1"/>
  <c r="B25" i="11"/>
  <c r="B26" i="11"/>
  <c r="D70" i="4"/>
  <c r="C70" i="4"/>
  <c r="B70" i="13" s="1"/>
  <c r="C54" i="11"/>
  <c r="B54" i="11"/>
  <c r="B55" i="11" s="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s="1"/>
  <c r="AG54" i="7" s="1"/>
  <c r="G55" i="7"/>
  <c r="I55" i="7"/>
  <c r="K55" i="7" s="1"/>
  <c r="M55" i="7" s="1"/>
  <c r="O55" i="7" s="1"/>
  <c r="Q55" i="7" s="1"/>
  <c r="S55" i="7" s="1"/>
  <c r="U55" i="7" s="1"/>
  <c r="W55" i="7" s="1"/>
  <c r="Y55" i="7" s="1"/>
  <c r="AA55" i="7" s="1"/>
  <c r="AC55" i="7" s="1"/>
  <c r="AE55" i="7" s="1"/>
  <c r="AG55" i="7" s="1"/>
  <c r="G57" i="7"/>
  <c r="I57" i="7"/>
  <c r="K57" i="7"/>
  <c r="M57" i="7" s="1"/>
  <c r="O57" i="7" s="1"/>
  <c r="Q57" i="7" s="1"/>
  <c r="S57" i="7" s="1"/>
  <c r="U57" i="7" s="1"/>
  <c r="W57" i="7" s="1"/>
  <c r="Y57" i="7" s="1"/>
  <c r="AA57" i="7" s="1"/>
  <c r="AC57" i="7" s="1"/>
  <c r="AE57" i="7" s="1"/>
  <c r="AG57" i="7" s="1"/>
  <c r="I53" i="7"/>
  <c r="A61" i="15"/>
  <c r="BA479" i="3"/>
  <c r="BA470" i="3"/>
  <c r="G24" i="7"/>
  <c r="I24" i="7"/>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AH725" i="3" s="1"/>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2" i="11" s="1"/>
  <c r="D82" i="11" s="1"/>
  <c r="C81" i="11"/>
  <c r="B80" i="11"/>
  <c r="B81" i="11"/>
  <c r="D81" i="11" s="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c r="T81" i="4"/>
  <c r="H81" i="13"/>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R104" i="4" s="1"/>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42" i="4" s="1"/>
  <c r="R37" i="4"/>
  <c r="R35" i="4"/>
  <c r="R34" i="4"/>
  <c r="R33" i="4"/>
  <c r="R32" i="4"/>
  <c r="R31" i="4"/>
  <c r="R30" i="4"/>
  <c r="R29" i="4"/>
  <c r="R27" i="4"/>
  <c r="R25" i="4"/>
  <c r="R23" i="4"/>
  <c r="R22" i="4"/>
  <c r="R21" i="4"/>
  <c r="R20" i="4"/>
  <c r="R19" i="4"/>
  <c r="R18" i="4"/>
  <c r="R17" i="4"/>
  <c r="R15" i="4"/>
  <c r="R14" i="4"/>
  <c r="R13" i="4"/>
  <c r="R9" i="4"/>
  <c r="R11" i="4"/>
  <c r="R7" i="4"/>
  <c r="R6" i="4"/>
  <c r="R5" i="4"/>
  <c r="R4" i="4"/>
  <c r="R8" i="4" s="1"/>
  <c r="R12" i="4" s="1"/>
  <c r="B5" i="11"/>
  <c r="C5" i="11"/>
  <c r="B6" i="11"/>
  <c r="C6" i="11"/>
  <c r="B7" i="11"/>
  <c r="C7" i="11"/>
  <c r="C8" i="11"/>
  <c r="B8" i="11"/>
  <c r="B10" i="11"/>
  <c r="B11" i="11"/>
  <c r="C10" i="11"/>
  <c r="C11" i="11"/>
  <c r="D11" i="11" s="1"/>
  <c r="B14" i="11"/>
  <c r="C14" i="11"/>
  <c r="B15" i="11"/>
  <c r="C15" i="11"/>
  <c r="B16" i="11"/>
  <c r="C16" i="11"/>
  <c r="B18" i="11"/>
  <c r="C18" i="11"/>
  <c r="B19" i="11"/>
  <c r="C19" i="11"/>
  <c r="B20" i="11"/>
  <c r="C20" i="11"/>
  <c r="B21" i="11"/>
  <c r="C21" i="11"/>
  <c r="B22" i="11"/>
  <c r="C22" i="11"/>
  <c r="B23" i="11"/>
  <c r="C23" i="11"/>
  <c r="B24" i="11"/>
  <c r="B28" i="11"/>
  <c r="C28" i="11"/>
  <c r="B30" i="11"/>
  <c r="D30" i="11" s="1"/>
  <c r="C30" i="11"/>
  <c r="D33" i="11"/>
  <c r="D34" i="11"/>
  <c r="B41" i="11"/>
  <c r="D41" i="11" s="1"/>
  <c r="C41" i="11"/>
  <c r="C42" i="11"/>
  <c r="B42" i="11"/>
  <c r="B44" i="11"/>
  <c r="C44" i="11"/>
  <c r="B46" i="11"/>
  <c r="C46" i="11"/>
  <c r="B47" i="11"/>
  <c r="C47" i="11"/>
  <c r="B48" i="11"/>
  <c r="B49" i="11"/>
  <c r="B50" i="11"/>
  <c r="D50" i="11" s="1"/>
  <c r="B51" i="11"/>
  <c r="D51" i="11"/>
  <c r="B52" i="11"/>
  <c r="B53" i="11"/>
  <c r="C48" i="11"/>
  <c r="C49" i="11"/>
  <c r="C50" i="11"/>
  <c r="C51" i="11"/>
  <c r="C52" i="11"/>
  <c r="D52" i="11" s="1"/>
  <c r="C53" i="11"/>
  <c r="D53" i="11" s="1"/>
  <c r="B57" i="11"/>
  <c r="B63" i="11" s="1"/>
  <c r="C57" i="11"/>
  <c r="B58" i="11"/>
  <c r="C58" i="11"/>
  <c r="B59" i="11"/>
  <c r="C59" i="11"/>
  <c r="B60" i="11"/>
  <c r="C60" i="11"/>
  <c r="B61" i="11"/>
  <c r="C61" i="11"/>
  <c r="B62" i="11"/>
  <c r="C62" i="11"/>
  <c r="B66" i="11"/>
  <c r="D66" i="11" s="1"/>
  <c r="C66" i="11"/>
  <c r="B73" i="11"/>
  <c r="C73" i="11"/>
  <c r="B74" i="11"/>
  <c r="C74" i="11"/>
  <c r="B75" i="11"/>
  <c r="C75" i="11"/>
  <c r="B76" i="11"/>
  <c r="B78" i="11" s="1"/>
  <c r="C76" i="11"/>
  <c r="D76" i="11" s="1"/>
  <c r="B77" i="11"/>
  <c r="C77" i="11"/>
  <c r="B84" i="11"/>
  <c r="D84" i="11" s="1"/>
  <c r="C84" i="11"/>
  <c r="B100" i="11"/>
  <c r="D100" i="11" s="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H11" i="13"/>
  <c r="T26" i="4"/>
  <c r="H26" i="13"/>
  <c r="T38" i="4"/>
  <c r="H38" i="13"/>
  <c r="T42" i="4"/>
  <c r="H42" i="13"/>
  <c r="T54" i="4"/>
  <c r="H54" i="13"/>
  <c r="T70" i="4"/>
  <c r="H70" i="13"/>
  <c r="T96" i="4"/>
  <c r="H96" i="13"/>
  <c r="C11" i="4"/>
  <c r="B11" i="13" s="1"/>
  <c r="B26" i="13"/>
  <c r="C38" i="4"/>
  <c r="B38" i="13" s="1"/>
  <c r="C54" i="4"/>
  <c r="B54" i="13" s="1"/>
  <c r="C62" i="4"/>
  <c r="B62" i="13" s="1"/>
  <c r="C77" i="4"/>
  <c r="B77" i="13" s="1"/>
  <c r="C96" i="4"/>
  <c r="B96" i="13" s="1"/>
  <c r="D8" i="4"/>
  <c r="D11" i="4"/>
  <c r="D26" i="4"/>
  <c r="D38" i="4"/>
  <c r="D42" i="4"/>
  <c r="D54" i="4"/>
  <c r="D62" i="4"/>
  <c r="D77" i="4"/>
  <c r="D96" i="4"/>
  <c r="D104" i="4"/>
  <c r="B104" i="4"/>
  <c r="E26" i="13"/>
  <c r="S38" i="4"/>
  <c r="E38" i="13" s="1"/>
  <c r="S42" i="4"/>
  <c r="E42" i="13" s="1"/>
  <c r="S54" i="4"/>
  <c r="E54" i="13" s="1"/>
  <c r="S96" i="4"/>
  <c r="E96" i="13" s="1"/>
  <c r="S104" i="4"/>
  <c r="E104" i="13"/>
  <c r="F2" i="4"/>
  <c r="G2" i="4"/>
  <c r="H2" i="4"/>
  <c r="I2" i="4"/>
  <c r="J2" i="4"/>
  <c r="K2" i="4"/>
  <c r="L2" i="4"/>
  <c r="M2" i="4"/>
  <c r="N2" i="4"/>
  <c r="O2" i="4"/>
  <c r="P2" i="4"/>
  <c r="Q2" i="4"/>
  <c r="B4" i="4"/>
  <c r="B5" i="4"/>
  <c r="B6" i="4"/>
  <c r="B7" i="4"/>
  <c r="E8" i="4"/>
  <c r="F8" i="4"/>
  <c r="F12" i="4" s="1"/>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G63" i="4" s="1"/>
  <c r="G97" i="4" s="1"/>
  <c r="G105" i="4" s="1"/>
  <c r="H38" i="4"/>
  <c r="H63" i="4" s="1"/>
  <c r="H97" i="4" s="1"/>
  <c r="H105" i="4" s="1"/>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N186" i="27" s="1"/>
  <c r="B87" i="4"/>
  <c r="B88" i="4"/>
  <c r="B89" i="4"/>
  <c r="B90" i="4"/>
  <c r="B91" i="4"/>
  <c r="B92" i="4"/>
  <c r="B93" i="4"/>
  <c r="B94" i="4"/>
  <c r="B95" i="4"/>
  <c r="E96" i="4"/>
  <c r="F96" i="4"/>
  <c r="G96" i="4"/>
  <c r="H96" i="4"/>
  <c r="I96" i="4"/>
  <c r="K96" i="4"/>
  <c r="L96" i="4"/>
  <c r="Q96" i="4"/>
  <c r="B101" i="4"/>
  <c r="B102" i="4"/>
  <c r="B103" i="4"/>
  <c r="E104" i="4"/>
  <c r="F104" i="4"/>
  <c r="G104" i="4"/>
  <c r="H104" i="4"/>
  <c r="I104" i="4"/>
  <c r="I105" i="4" s="1"/>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AH737" i="3" s="1"/>
  <c r="G683" i="3"/>
  <c r="Z683" i="3"/>
  <c r="BA687" i="3"/>
  <c r="AH738" i="3" s="1"/>
  <c r="BA688" i="3"/>
  <c r="BA689" i="3"/>
  <c r="BA690" i="3"/>
  <c r="X718" i="3"/>
  <c r="X719" i="3"/>
  <c r="X720" i="3"/>
  <c r="X721" i="3"/>
  <c r="X722" i="3"/>
  <c r="X723" i="3"/>
  <c r="X724" i="3"/>
  <c r="X730" i="3"/>
  <c r="AH730" i="3" s="1"/>
  <c r="X731" i="3"/>
  <c r="X732" i="3"/>
  <c r="X733" i="3"/>
  <c r="X734" i="3"/>
  <c r="X735" i="3"/>
  <c r="X736" i="3"/>
  <c r="AH736" i="3" s="1"/>
  <c r="X737" i="3"/>
  <c r="X738" i="3"/>
  <c r="X739" i="3"/>
  <c r="X740" i="3"/>
  <c r="X741" i="3"/>
  <c r="M832" i="3"/>
  <c r="Q832" i="3"/>
  <c r="U832" i="3"/>
  <c r="Y832" i="3"/>
  <c r="AC832" i="3"/>
  <c r="AG832" i="3"/>
  <c r="BI841" i="3"/>
  <c r="Z901" i="3"/>
  <c r="AY1012" i="3"/>
  <c r="AY1013" i="3"/>
  <c r="AY1014" i="3"/>
  <c r="AY1016" i="3"/>
  <c r="AY1017" i="3"/>
  <c r="AY1018" i="3"/>
  <c r="AY1019" i="3"/>
  <c r="AY1020" i="3"/>
  <c r="B70" i="4"/>
  <c r="B26" i="4"/>
  <c r="D49" i="11"/>
  <c r="I63" i="13"/>
  <c r="I97" i="13"/>
  <c r="I105" i="13"/>
  <c r="I107" i="13"/>
  <c r="D54" i="11"/>
  <c r="J63" i="13"/>
  <c r="J97" i="13"/>
  <c r="J105" i="13"/>
  <c r="J107" i="13"/>
  <c r="L12" i="4"/>
  <c r="D48" i="11"/>
  <c r="D93" i="11"/>
  <c r="D80" i="11"/>
  <c r="I12" i="4"/>
  <c r="G12" i="4"/>
  <c r="D46" i="11"/>
  <c r="D6" i="11"/>
  <c r="L63" i="4"/>
  <c r="L97" i="4"/>
  <c r="L105" i="4"/>
  <c r="Q12" i="4"/>
  <c r="O63" i="4"/>
  <c r="O97" i="4"/>
  <c r="O105" i="4"/>
  <c r="D18" i="11"/>
  <c r="R70" i="4"/>
  <c r="D10" i="11"/>
  <c r="D36" i="11"/>
  <c r="G63" i="13"/>
  <c r="G97" i="13"/>
  <c r="G105" i="13"/>
  <c r="G107" i="13"/>
  <c r="D61" i="11"/>
  <c r="D20" i="11"/>
  <c r="D8" i="11"/>
  <c r="D85" i="11"/>
  <c r="B43" i="11"/>
  <c r="D102" i="11"/>
  <c r="D94" i="11"/>
  <c r="K12" i="4"/>
  <c r="C43" i="11"/>
  <c r="D43" i="11" s="1"/>
  <c r="C12" i="13"/>
  <c r="D63" i="4"/>
  <c r="D97" i="4"/>
  <c r="D105" i="4"/>
  <c r="D7" i="11"/>
  <c r="J12" i="4"/>
  <c r="D22" i="11"/>
  <c r="O12" i="4"/>
  <c r="I63" i="4"/>
  <c r="I97" i="4"/>
  <c r="D95" i="11"/>
  <c r="D25" i="11"/>
  <c r="B82" i="11"/>
  <c r="D12" i="4"/>
  <c r="R77" i="4"/>
  <c r="H12" i="4"/>
  <c r="D23" i="11"/>
  <c r="D19" i="11"/>
  <c r="D89" i="11"/>
  <c r="D73" i="11"/>
  <c r="D44" i="11"/>
  <c r="D35" i="11"/>
  <c r="D31" i="11"/>
  <c r="D15" i="11"/>
  <c r="D63" i="13"/>
  <c r="D97" i="13"/>
  <c r="D105" i="13"/>
  <c r="D14" i="11"/>
  <c r="Q63" i="4"/>
  <c r="Q97" i="4"/>
  <c r="Q105" i="4"/>
  <c r="C105" i="11"/>
  <c r="D87" i="11"/>
  <c r="N63" i="4"/>
  <c r="N97" i="4"/>
  <c r="N105" i="4"/>
  <c r="N12" i="4"/>
  <c r="D60" i="11"/>
  <c r="M12" i="4"/>
  <c r="D74" i="11"/>
  <c r="D59" i="11"/>
  <c r="D38" i="11"/>
  <c r="P63" i="4"/>
  <c r="P97" i="4"/>
  <c r="P105" i="4"/>
  <c r="D12" i="13"/>
  <c r="D58" i="11"/>
  <c r="D62" i="11"/>
  <c r="D24" i="11"/>
  <c r="D101" i="11"/>
  <c r="D90" i="11"/>
  <c r="C63" i="13"/>
  <c r="C97" i="13"/>
  <c r="C105" i="13"/>
  <c r="D75" i="11"/>
  <c r="B71" i="11"/>
  <c r="D28" i="11"/>
  <c r="D103" i="11"/>
  <c r="D88" i="11"/>
  <c r="C78" i="11"/>
  <c r="D42" i="11"/>
  <c r="D21" i="11"/>
  <c r="D16" i="11"/>
  <c r="B12" i="11"/>
  <c r="R26" i="4"/>
  <c r="F63" i="13"/>
  <c r="F97" i="13"/>
  <c r="F105" i="13"/>
  <c r="F107" i="13"/>
  <c r="AD199" i="20"/>
  <c r="B42" i="4"/>
  <c r="D77" i="11"/>
  <c r="M63" i="4"/>
  <c r="M97" i="4"/>
  <c r="M105" i="4"/>
  <c r="D91" i="11"/>
  <c r="J63" i="4"/>
  <c r="J97" i="4"/>
  <c r="J105" i="4"/>
  <c r="C12" i="11"/>
  <c r="K63" i="4"/>
  <c r="K97" i="4"/>
  <c r="K105" i="4"/>
  <c r="B62" i="4"/>
  <c r="D104" i="11"/>
  <c r="E12" i="4"/>
  <c r="T63" i="4"/>
  <c r="T97" i="4"/>
  <c r="D12" i="11"/>
  <c r="H63" i="13"/>
  <c r="T105" i="4"/>
  <c r="H97" i="13"/>
  <c r="T107" i="4"/>
  <c r="H105" i="13"/>
  <c r="H107" i="13"/>
  <c r="AD11" i="15"/>
  <c r="R62" i="4" l="1"/>
  <c r="D57" i="11"/>
  <c r="C63" i="11"/>
  <c r="K53" i="7"/>
  <c r="R96" i="4"/>
  <c r="R81" i="4"/>
  <c r="R54" i="4"/>
  <c r="E63" i="4"/>
  <c r="E97" i="4" s="1"/>
  <c r="E105" i="4" s="1"/>
  <c r="R38" i="4"/>
  <c r="B8" i="4"/>
  <c r="N187" i="27" s="1"/>
  <c r="F63" i="4"/>
  <c r="F97" i="4" s="1"/>
  <c r="F105" i="4" s="1"/>
  <c r="S63" i="4"/>
  <c r="AH724" i="3"/>
  <c r="D96" i="11"/>
  <c r="B105" i="11"/>
  <c r="D105" i="11"/>
  <c r="B97" i="11"/>
  <c r="C97" i="11"/>
  <c r="N193" i="27"/>
  <c r="B96" i="4"/>
  <c r="B81" i="4"/>
  <c r="D78" i="11"/>
  <c r="B77" i="4"/>
  <c r="C71" i="11"/>
  <c r="D71" i="11" s="1"/>
  <c r="D63" i="11"/>
  <c r="C55" i="11"/>
  <c r="D55" i="11" s="1"/>
  <c r="D47" i="11"/>
  <c r="B54" i="4"/>
  <c r="C39" i="11"/>
  <c r="D32" i="11"/>
  <c r="B38" i="4"/>
  <c r="B39" i="11"/>
  <c r="AB48" i="15"/>
  <c r="C12" i="4"/>
  <c r="B12" i="13" s="1"/>
  <c r="B11" i="4"/>
  <c r="B12" i="4" s="1"/>
  <c r="B9" i="11"/>
  <c r="B13" i="11" s="1"/>
  <c r="C9" i="11"/>
  <c r="D5" i="11"/>
  <c r="G67" i="21"/>
  <c r="AD23" i="15"/>
  <c r="AD26" i="15"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AG29" i="7"/>
  <c r="AC28" i="7"/>
  <c r="AO641" i="3"/>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AD28" i="15" s="1"/>
  <c r="DR632" i="3"/>
  <c r="S24" i="21"/>
  <c r="B27" i="11"/>
  <c r="D26" i="11"/>
  <c r="D27" i="11" s="1"/>
  <c r="S30" i="21"/>
  <c r="T7" i="15"/>
  <c r="E43" i="7"/>
  <c r="AC29" i="7"/>
  <c r="M29" i="7"/>
  <c r="Q44" i="21" a="1"/>
  <c r="Q44" i="21" s="1"/>
  <c r="Q40" i="7"/>
  <c r="Q43" i="7" s="1"/>
  <c r="U40" i="7"/>
  <c r="U43" i="7" s="1"/>
  <c r="G29" i="7"/>
  <c r="Q29" i="7"/>
  <c r="AA40" i="7"/>
  <c r="AA43" i="7" s="1"/>
  <c r="Y40" i="7"/>
  <c r="Y43" i="7" s="1"/>
  <c r="M40" i="7"/>
  <c r="M43" i="7" s="1"/>
  <c r="AE29" i="7"/>
  <c r="S28" i="21"/>
  <c r="AE40" i="7"/>
  <c r="AE43" i="7" s="1"/>
  <c r="W40" i="7"/>
  <c r="W43" i="7" s="1"/>
  <c r="W29" i="7"/>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Q27" i="21" a="1"/>
  <c r="Q27" i="21" s="1"/>
  <c r="CH641" i="3"/>
  <c r="CL642" i="3" s="1"/>
  <c r="CM655" i="3"/>
  <c r="CQ656" i="3" s="1"/>
  <c r="AC797" i="3"/>
  <c r="G8" i="7"/>
  <c r="G9" i="7" s="1"/>
  <c r="E9" i="7"/>
  <c r="CX655" i="3"/>
  <c r="Q35" i="21" a="1"/>
  <c r="Q35" i="21" s="1"/>
  <c r="Q43" i="21" a="1"/>
  <c r="Q43" i="21" s="1"/>
  <c r="Q31" i="21" a="1"/>
  <c r="Q31" i="21" s="1"/>
  <c r="R987" i="3"/>
  <c r="G121" i="21" s="1"/>
  <c r="G123" i="21" s="1"/>
  <c r="I15" i="21" s="1"/>
  <c r="R986" i="3"/>
  <c r="R985" i="3"/>
  <c r="AC777" i="3"/>
  <c r="T22" i="21"/>
  <c r="S41" i="21"/>
  <c r="E99" i="20"/>
  <c r="O44" i="21"/>
  <c r="R41" i="21"/>
  <c r="T41" i="21"/>
  <c r="Q23" i="21" a="1"/>
  <c r="Q23" i="21" s="1"/>
  <c r="E98" i="20"/>
  <c r="Q40" i="21" a="1"/>
  <c r="Q40" i="21" s="1"/>
  <c r="O41" i="21"/>
  <c r="T40" i="21"/>
  <c r="AC883" i="3"/>
  <c r="BG243" i="3"/>
  <c r="BO245" i="3" s="1"/>
  <c r="T267" i="3" s="1"/>
  <c r="P41" i="21" a="1"/>
  <c r="P41" i="21" s="1"/>
  <c r="Q29" i="21" a="1"/>
  <c r="Q29" i="21" s="1"/>
  <c r="CX632" i="3"/>
  <c r="Q34" i="21" a="1"/>
  <c r="Q34" i="21" s="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S37" i="21"/>
  <c r="CM632" i="3"/>
  <c r="AX682" i="20" s="1"/>
  <c r="CC632" i="3"/>
  <c r="AX680" i="20" s="1"/>
  <c r="DR655" i="3"/>
  <c r="CH655" i="3"/>
  <c r="CL656" i="3" s="1"/>
  <c r="DM645" i="3"/>
  <c r="DM655" i="3" s="1"/>
  <c r="DH655" i="3"/>
  <c r="AC884" i="3"/>
  <c r="CC655" i="3"/>
  <c r="CG656" i="3" s="1"/>
  <c r="BX632" i="3"/>
  <c r="EH632" i="3"/>
  <c r="CS648" i="3"/>
  <c r="CS655" i="3" s="1"/>
  <c r="BN655" i="3"/>
  <c r="T36" i="21"/>
  <c r="T31" i="21"/>
  <c r="AV116" i="20"/>
  <c r="AW115" i="20" s="1"/>
  <c r="Q36" i="21" a="1"/>
  <c r="Q36" i="21" s="1"/>
  <c r="O42" i="21"/>
  <c r="T39" i="21"/>
  <c r="Q22" i="21" a="1"/>
  <c r="Q22" i="21" s="1"/>
  <c r="S38" i="21"/>
  <c r="S29" i="21"/>
  <c r="S20" i="21"/>
  <c r="T29" i="21"/>
  <c r="Q38" i="21" a="1"/>
  <c r="Q38" i="21" s="1"/>
  <c r="Q20" i="21" a="1"/>
  <c r="Q20" i="21" s="1"/>
  <c r="R43" i="21"/>
  <c r="T43" i="21"/>
  <c r="P42" i="21" a="1"/>
  <c r="P42" i="21" s="1"/>
  <c r="R42"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J40" i="8"/>
  <c r="Z809" i="3" s="1"/>
  <c r="G53" i="21"/>
  <c r="E24" i="21"/>
  <c r="E22" i="21"/>
  <c r="F22" i="21" s="1"/>
  <c r="G40" i="8"/>
  <c r="I15" i="7"/>
  <c r="E26" i="21"/>
  <c r="E23" i="21"/>
  <c r="F23" i="21" s="1"/>
  <c r="G23" i="21" s="1"/>
  <c r="M53" i="7" l="1"/>
  <c r="R63" i="4"/>
  <c r="R97" i="4" s="1"/>
  <c r="R105" i="4" s="1"/>
  <c r="D9" i="11"/>
  <c r="S97" i="4"/>
  <c r="E63" i="13"/>
  <c r="DX635" i="3"/>
  <c r="AJ610" i="20"/>
  <c r="AK783" i="20" s="1"/>
  <c r="T808" i="20" s="1"/>
  <c r="AF808" i="20" s="1"/>
  <c r="G62" i="21"/>
  <c r="D97" i="11"/>
  <c r="B63" i="4"/>
  <c r="D39" i="11"/>
  <c r="B64" i="11"/>
  <c r="B98" i="11" s="1"/>
  <c r="B106" i="11" s="1"/>
  <c r="C64" i="11"/>
  <c r="C98" i="11" s="1"/>
  <c r="C13" i="11"/>
  <c r="D13" i="11" s="1"/>
  <c r="C97" i="4"/>
  <c r="C105" i="4" s="1"/>
  <c r="AC455" i="3" s="1"/>
  <c r="BH702" i="3"/>
  <c r="BI702" i="3" s="1"/>
  <c r="BH701" i="3"/>
  <c r="BI701" i="3" s="1"/>
  <c r="BU669" i="3"/>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40" i="21" s="1"/>
  <c r="P40" i="21" s="1" a="1"/>
  <c r="P40" i="21" s="1"/>
  <c r="R40" i="21" s="1"/>
  <c r="DX649" i="3"/>
  <c r="DX640" i="3"/>
  <c r="DX642" i="3"/>
  <c r="DX641" i="3"/>
  <c r="DX656" i="3"/>
  <c r="DX652" i="3"/>
  <c r="DX647" i="3"/>
  <c r="DX655" i="3"/>
  <c r="DX644" i="3"/>
  <c r="DX654" i="3"/>
  <c r="DX648" i="3"/>
  <c r="CM633" i="3"/>
  <c r="DX651" i="3"/>
  <c r="DX638" i="3"/>
  <c r="DX650" i="3"/>
  <c r="DX643" i="3"/>
  <c r="EH653" i="3"/>
  <c r="BV669"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I35" i="7" s="1"/>
  <c r="E27" i="21"/>
  <c r="G22" i="21"/>
  <c r="O53" i="7" l="1"/>
  <c r="S105" i="4"/>
  <c r="E97" i="13"/>
  <c r="O37" i="21"/>
  <c r="P37" i="21" s="1" a="1"/>
  <c r="P37" i="21" s="1"/>
  <c r="R37" i="21" s="1"/>
  <c r="O39" i="21"/>
  <c r="P39" i="21" s="1" a="1"/>
  <c r="P39" i="21" s="1"/>
  <c r="R39" i="21" s="1"/>
  <c r="O38" i="21"/>
  <c r="P38" i="21" s="1" a="1"/>
  <c r="P38" i="21" s="1"/>
  <c r="R38" i="21" s="1"/>
  <c r="O33" i="21"/>
  <c r="P33" i="21" s="1" a="1"/>
  <c r="P33" i="21" s="1"/>
  <c r="R33" i="21" s="1"/>
  <c r="O36" i="21"/>
  <c r="P36" i="21" s="1" a="1"/>
  <c r="P36" i="21" s="1"/>
  <c r="R36" i="21" s="1"/>
  <c r="O35" i="21"/>
  <c r="P35" i="21" s="1" a="1"/>
  <c r="P35" i="21" s="1"/>
  <c r="R35" i="21" s="1"/>
  <c r="O34" i="21"/>
  <c r="P34" i="21" s="1" a="1"/>
  <c r="P34" i="21" s="1"/>
  <c r="R34" i="21" s="1"/>
  <c r="O29" i="21"/>
  <c r="P29" i="21" s="1" a="1"/>
  <c r="P29" i="21" s="1"/>
  <c r="R29" i="21" s="1"/>
  <c r="O32" i="21"/>
  <c r="P32" i="21" s="1" a="1"/>
  <c r="P32" i="21" s="1"/>
  <c r="R32" i="21" s="1"/>
  <c r="O31" i="21"/>
  <c r="P31" i="21" s="1" a="1"/>
  <c r="P31" i="21" s="1"/>
  <c r="R31" i="21" s="1"/>
  <c r="O30" i="21"/>
  <c r="P30" i="21" s="1" a="1"/>
  <c r="P30" i="21" s="1"/>
  <c r="R30" i="21" s="1"/>
  <c r="O26" i="21"/>
  <c r="P26" i="21" s="1" a="1"/>
  <c r="P26" i="21" s="1"/>
  <c r="R26" i="21" s="1"/>
  <c r="O28" i="21"/>
  <c r="P28" i="21" s="1" a="1"/>
  <c r="P28" i="21" s="1"/>
  <c r="R28" i="21" s="1"/>
  <c r="O27" i="21"/>
  <c r="P27" i="21" s="1" a="1"/>
  <c r="P27" i="21" s="1"/>
  <c r="R27" i="21" s="1"/>
  <c r="O24" i="21"/>
  <c r="P24" i="21" s="1" a="1"/>
  <c r="P24" i="21" s="1"/>
  <c r="R24" i="21" s="1"/>
  <c r="O25" i="21"/>
  <c r="P25" i="21" s="1" a="1"/>
  <c r="P25" i="21" s="1"/>
  <c r="R25" i="21" s="1"/>
  <c r="CS634" i="3"/>
  <c r="O756" i="3" s="1"/>
  <c r="D64" i="11"/>
  <c r="B97" i="13"/>
  <c r="B105" i="4"/>
  <c r="AC454" i="3" s="1"/>
  <c r="F457" i="3" s="1"/>
  <c r="B97" i="4"/>
  <c r="B105" i="13"/>
  <c r="AG258" i="20"/>
  <c r="BH703" i="3"/>
  <c r="BV703" i="3"/>
  <c r="AH753" i="3" s="1"/>
  <c r="E35" i="7"/>
  <c r="Y23" i="15"/>
  <c r="Y26" i="15" s="1"/>
  <c r="Y28" i="15" s="1"/>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Q53" i="7" l="1"/>
  <c r="S107" i="4"/>
  <c r="E105" i="13"/>
  <c r="AB255" i="20"/>
  <c r="AG257" i="20" s="1"/>
  <c r="AG259" i="20" s="1"/>
  <c r="AK262" i="20" s="1"/>
  <c r="T801" i="20" s="1"/>
  <c r="AF801" i="20" s="1"/>
  <c r="AB47" i="15"/>
  <c r="AB49" i="15" s="1"/>
  <c r="AB54" i="15" s="1"/>
  <c r="AB55" i="15" s="1"/>
  <c r="N183" i="27"/>
  <c r="N184" i="27" s="1"/>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S53" i="7" l="1"/>
  <c r="AJ1044" i="3"/>
  <c r="AP541" i="20" s="1"/>
  <c r="AJ1028" i="3"/>
  <c r="AJ993" i="3"/>
  <c r="AC456" i="3"/>
  <c r="AF540" i="20"/>
  <c r="E107" i="13"/>
  <c r="T11" i="15" s="1"/>
  <c r="T23" i="15" s="1"/>
  <c r="B1059" i="3"/>
  <c r="AJ1048" i="3"/>
  <c r="AP542" i="20" s="1"/>
  <c r="N194" i="27"/>
  <c r="AP539" i="20"/>
  <c r="K4" i="7"/>
  <c r="M4" i="7" s="1"/>
  <c r="E45" i="7"/>
  <c r="G45" i="7"/>
  <c r="G56" i="7" s="1"/>
  <c r="G58" i="7" s="1"/>
  <c r="G49" i="7"/>
  <c r="K6" i="7"/>
  <c r="I7" i="7"/>
  <c r="I11" i="7" s="1"/>
  <c r="I37" i="7" s="1"/>
  <c r="G24" i="21"/>
  <c r="F27" i="21"/>
  <c r="G27" i="21"/>
  <c r="O22" i="7"/>
  <c r="O35" i="7" s="1"/>
  <c r="Q15" i="7"/>
  <c r="O9" i="7"/>
  <c r="Q8" i="7"/>
  <c r="E48" i="7" l="1"/>
  <c r="E56" i="7"/>
  <c r="E58" i="7" s="1"/>
  <c r="E60" i="7" s="1"/>
  <c r="E62" i="7" s="1"/>
  <c r="U53" i="7"/>
  <c r="AZ846" i="3"/>
  <c r="AZ843" i="3"/>
  <c r="AZ851" i="3" s="1"/>
  <c r="T26" i="15"/>
  <c r="T28" i="15" s="1"/>
  <c r="T29" i="15" s="1"/>
  <c r="Y64" i="15"/>
  <c r="Y68" i="15" s="1"/>
  <c r="Y69" i="15" s="1"/>
  <c r="AJ1052" i="3"/>
  <c r="T24" i="15" s="1"/>
  <c r="AP543" i="20"/>
  <c r="K5" i="7"/>
  <c r="E47" i="7"/>
  <c r="O4" i="7"/>
  <c r="M5" i="7"/>
  <c r="I45" i="7"/>
  <c r="I56" i="7" s="1"/>
  <c r="I58" i="7" s="1"/>
  <c r="I49" i="7"/>
  <c r="M6" i="7"/>
  <c r="K7" i="7"/>
  <c r="G60" i="7"/>
  <c r="G47" i="7"/>
  <c r="G48" i="7"/>
  <c r="Q22" i="7"/>
  <c r="Q35" i="7" s="1"/>
  <c r="S15" i="7"/>
  <c r="G95" i="21"/>
  <c r="G96" i="21" s="1"/>
  <c r="G29" i="21"/>
  <c r="G31" i="21" s="1"/>
  <c r="E9" i="21" s="1"/>
  <c r="G104" i="21"/>
  <c r="G106" i="21" s="1"/>
  <c r="G79" i="21"/>
  <c r="G64" i="21"/>
  <c r="Q9" i="7"/>
  <c r="S8" i="7"/>
  <c r="W53" i="7" l="1"/>
  <c r="Y38" i="15"/>
  <c r="Y40" i="15" s="1"/>
  <c r="AP546" i="20"/>
  <c r="AP545" i="20" s="1"/>
  <c r="AP548" i="20" s="1"/>
  <c r="AF541" i="20" s="1"/>
  <c r="AF542" i="20" s="1"/>
  <c r="AK548" i="20" s="1"/>
  <c r="T807" i="20" s="1"/>
  <c r="AF807" i="20" s="1"/>
  <c r="K11" i="7"/>
  <c r="K37" i="7" s="1"/>
  <c r="K45" i="7" s="1"/>
  <c r="K56" i="7" s="1"/>
  <c r="K58" i="7" s="1"/>
  <c r="O5" i="7"/>
  <c r="Q4" i="7"/>
  <c r="AD38" i="15"/>
  <c r="AD40" i="15" s="1"/>
  <c r="M7" i="7"/>
  <c r="M11" i="7" s="1"/>
  <c r="M37" i="7" s="1"/>
  <c r="O6" i="7"/>
  <c r="G67" i="7"/>
  <c r="G62" i="7"/>
  <c r="G66" i="7"/>
  <c r="I48" i="7"/>
  <c r="I60" i="7"/>
  <c r="I47" i="7"/>
  <c r="G69" i="21"/>
  <c r="G81" i="21"/>
  <c r="G65" i="21"/>
  <c r="S22" i="7"/>
  <c r="S35" i="7" s="1"/>
  <c r="U15" i="7"/>
  <c r="E14" i="21"/>
  <c r="E15" i="21" s="1"/>
  <c r="U8" i="7"/>
  <c r="S9" i="7"/>
  <c r="Y53" i="7" l="1"/>
  <c r="K49" i="7"/>
  <c r="Y41" i="15"/>
  <c r="AB56" i="15" s="1"/>
  <c r="M26" i="3" s="1"/>
  <c r="E70" i="7"/>
  <c r="E72" i="7" s="1"/>
  <c r="S4" i="7"/>
  <c r="Q5" i="7"/>
  <c r="G70" i="7"/>
  <c r="G72" i="7" s="1"/>
  <c r="O7" i="7"/>
  <c r="O11" i="7" s="1"/>
  <c r="O37" i="7" s="1"/>
  <c r="Q6" i="7"/>
  <c r="M45" i="7"/>
  <c r="M56" i="7" s="1"/>
  <c r="M58" i="7" s="1"/>
  <c r="M49" i="7"/>
  <c r="I66" i="7"/>
  <c r="I67" i="7"/>
  <c r="I62" i="7"/>
  <c r="K47" i="7"/>
  <c r="K60" i="7"/>
  <c r="K48" i="7"/>
  <c r="U22" i="7"/>
  <c r="U35" i="7" s="1"/>
  <c r="W15" i="7"/>
  <c r="G83" i="21"/>
  <c r="E13" i="21" s="1"/>
  <c r="E16" i="21" s="1"/>
  <c r="H3" i="21" s="1"/>
  <c r="U9" i="7"/>
  <c r="W8" i="7"/>
  <c r="AA53" i="7" l="1"/>
  <c r="AB57" i="15"/>
  <c r="U4" i="7"/>
  <c r="S5" i="7"/>
  <c r="P204" i="3"/>
  <c r="M48" i="7"/>
  <c r="M47" i="7"/>
  <c r="M60" i="7"/>
  <c r="O45" i="7"/>
  <c r="O56" i="7" s="1"/>
  <c r="O58" i="7" s="1"/>
  <c r="O49" i="7"/>
  <c r="K66" i="7"/>
  <c r="K67" i="7"/>
  <c r="K62" i="7"/>
  <c r="Q7" i="7"/>
  <c r="Q11" i="7" s="1"/>
  <c r="Q37" i="7" s="1"/>
  <c r="S6" i="7"/>
  <c r="I70" i="7"/>
  <c r="I72" i="7" s="1"/>
  <c r="W22" i="7"/>
  <c r="W35" i="7" s="1"/>
  <c r="Y15" i="7"/>
  <c r="W9" i="7"/>
  <c r="Y8" i="7"/>
  <c r="AC53" i="7" l="1"/>
  <c r="AB59" i="15"/>
  <c r="AB77" i="15" s="1"/>
  <c r="U5" i="7"/>
  <c r="W4" i="7"/>
  <c r="Q49" i="7"/>
  <c r="Q45" i="7"/>
  <c r="Q56" i="7" s="1"/>
  <c r="Q58" i="7" s="1"/>
  <c r="M62" i="7"/>
  <c r="M67" i="7"/>
  <c r="M66" i="7"/>
  <c r="O47" i="7"/>
  <c r="O48" i="7"/>
  <c r="O60" i="7"/>
  <c r="K70" i="7"/>
  <c r="K72" i="7" s="1"/>
  <c r="S7" i="7"/>
  <c r="S11" i="7" s="1"/>
  <c r="S37" i="7" s="1"/>
  <c r="U6" i="7"/>
  <c r="Y22" i="7"/>
  <c r="Y35" i="7" s="1"/>
  <c r="AA15" i="7"/>
  <c r="Y9" i="7"/>
  <c r="AA8" i="7"/>
  <c r="AE53" i="7" l="1"/>
  <c r="AB78" i="15"/>
  <c r="AB79" i="15" s="1"/>
  <c r="AB81" i="15" s="1"/>
  <c r="J82" i="15" s="1"/>
  <c r="M70" i="7"/>
  <c r="M72" i="7" s="1"/>
  <c r="W5" i="7"/>
  <c r="Y4" i="7"/>
  <c r="U7" i="7"/>
  <c r="U11" i="7" s="1"/>
  <c r="U37" i="7" s="1"/>
  <c r="W6" i="7"/>
  <c r="O67" i="7"/>
  <c r="O66" i="7"/>
  <c r="O62" i="7"/>
  <c r="Q60" i="7"/>
  <c r="Q48" i="7"/>
  <c r="Q47" i="7"/>
  <c r="S49" i="7"/>
  <c r="S45" i="7"/>
  <c r="S56" i="7" s="1"/>
  <c r="S58" i="7" s="1"/>
  <c r="AC15" i="7"/>
  <c r="AA22" i="7"/>
  <c r="AA35" i="7" s="1"/>
  <c r="AC8" i="7"/>
  <c r="AA9" i="7"/>
  <c r="AG53" i="7" l="1"/>
  <c r="I10" i="21"/>
  <c r="I11" i="21" s="1"/>
  <c r="I16" i="21" s="1"/>
  <c r="H4" i="21" s="1"/>
  <c r="H5" i="21" s="1"/>
  <c r="M27" i="3"/>
  <c r="P205" i="3" s="1"/>
  <c r="AA4" i="7"/>
  <c r="Y5" i="7"/>
  <c r="Y6" i="7"/>
  <c r="W7" i="7"/>
  <c r="W11" i="7" s="1"/>
  <c r="W37" i="7" s="1"/>
  <c r="U45" i="7"/>
  <c r="U56" i="7" s="1"/>
  <c r="U58" i="7" s="1"/>
  <c r="U49" i="7"/>
  <c r="Q66" i="7"/>
  <c r="Q67" i="7"/>
  <c r="Q62" i="7"/>
  <c r="S48" i="7"/>
  <c r="S47" i="7"/>
  <c r="S60" i="7"/>
  <c r="O70" i="7"/>
  <c r="O72" i="7" s="1"/>
  <c r="AE15" i="7"/>
  <c r="AC22" i="7"/>
  <c r="AC35" i="7" s="1"/>
  <c r="AC9" i="7"/>
  <c r="AE8" i="7"/>
  <c r="AA5" i="7" l="1"/>
  <c r="AC4" i="7"/>
  <c r="S67" i="7"/>
  <c r="S66" i="7"/>
  <c r="S62" i="7"/>
  <c r="U48" i="7"/>
  <c r="U60" i="7"/>
  <c r="U47" i="7"/>
  <c r="Q70" i="7"/>
  <c r="Q72" i="7" s="1"/>
  <c r="W49" i="7"/>
  <c r="W45" i="7"/>
  <c r="W56" i="7" s="1"/>
  <c r="W58" i="7" s="1"/>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Y56" i="7" s="1"/>
  <c r="Y58" i="7" s="1"/>
  <c r="W60" i="7"/>
  <c r="W47" i="7"/>
  <c r="W48" i="7"/>
  <c r="AE5" i="7" l="1"/>
  <c r="AG4" i="7"/>
  <c r="AG5" i="7" s="1"/>
  <c r="AA45" i="7"/>
  <c r="AA56" i="7" s="1"/>
  <c r="AA58" i="7" s="1"/>
  <c r="AA49" i="7"/>
  <c r="U70" i="7"/>
  <c r="U72" i="7" s="1"/>
  <c r="W67" i="7"/>
  <c r="W62" i="7"/>
  <c r="W66" i="7"/>
  <c r="Y47" i="7"/>
  <c r="Y48" i="7"/>
  <c r="Y60" i="7"/>
  <c r="AE6" i="7"/>
  <c r="AC7" i="7"/>
  <c r="AC11" i="7" s="1"/>
  <c r="AC37" i="7" s="1"/>
  <c r="W70" i="7" l="1"/>
  <c r="W72" i="7" s="1"/>
  <c r="AA60" i="7"/>
  <c r="AA47" i="7"/>
  <c r="AA48" i="7"/>
  <c r="AC45" i="7"/>
  <c r="AC56" i="7" s="1"/>
  <c r="AC58" i="7" s="1"/>
  <c r="AC49" i="7"/>
  <c r="AE7" i="7"/>
  <c r="AE11" i="7" s="1"/>
  <c r="AE37" i="7" s="1"/>
  <c r="AG6" i="7"/>
  <c r="Y67" i="7"/>
  <c r="Y62" i="7"/>
  <c r="Y66" i="7"/>
  <c r="Y70" i="7" l="1"/>
  <c r="Y72" i="7" s="1"/>
  <c r="AG7" i="7"/>
  <c r="AG11" i="7" s="1"/>
  <c r="AG37" i="7" s="1"/>
  <c r="AE49" i="7"/>
  <c r="AE45" i="7"/>
  <c r="AE56" i="7" s="1"/>
  <c r="AE58" i="7" s="1"/>
  <c r="AC60" i="7"/>
  <c r="AC48" i="7"/>
  <c r="AC47" i="7"/>
  <c r="AA66" i="7"/>
  <c r="AA67" i="7"/>
  <c r="AA62" i="7"/>
  <c r="AA70" i="7" l="1"/>
  <c r="AA72" i="7" s="1"/>
  <c r="AC66" i="7"/>
  <c r="AC62" i="7"/>
  <c r="AC67" i="7"/>
  <c r="AE47" i="7"/>
  <c r="AE60" i="7"/>
  <c r="AE48" i="7"/>
  <c r="AG49" i="7"/>
  <c r="AG45" i="7"/>
  <c r="AG56" i="7" s="1"/>
  <c r="AG58" i="7" s="1"/>
  <c r="AG48" i="7" l="1"/>
  <c r="AG60" i="7"/>
  <c r="AG47" i="7"/>
  <c r="AE62" i="7"/>
  <c r="AE66" i="7"/>
  <c r="AE67" i="7"/>
  <c r="AC70" i="7"/>
  <c r="AC72" i="7" s="1"/>
  <c r="AE70" i="7" l="1"/>
  <c r="AE72" i="7" s="1"/>
  <c r="AG62" i="7"/>
  <c r="AG66" i="7"/>
  <c r="AG67"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4"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t>
        </r>
      </text>
    </comment>
    <comment ref="AP205" authorId="1" shapeId="0" xr:uid="{25776737-4510-42A6-A0A6-A216816EFEC2}">
      <text>
        <r>
          <rPr>
            <b/>
            <sz val="9"/>
            <color indexed="81"/>
            <rFont val="Tahoma"/>
            <family val="2"/>
          </rPr>
          <t xml:space="preserve">State Farmworker Credit pursuant to 10310(b)(2)(D), </t>
        </r>
        <r>
          <rPr>
            <sz val="9"/>
            <color indexed="81"/>
            <rFont val="Tahoma"/>
            <family val="2"/>
          </rPr>
          <t>does not include any portion of the $500M state credit</t>
        </r>
        <r>
          <rPr>
            <sz val="9"/>
            <color indexed="81"/>
            <rFont val="Tahoma"/>
            <family val="2"/>
          </rPr>
          <t xml:space="preserve">
</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3"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<sst xmlns="http://schemas.openxmlformats.org/spreadsheetml/2006/main" count="5408" uniqueCount="2807">
  <si>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</si>
  <si>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</si>
  <si>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</si>
  <si>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</si>
  <si>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</si>
  <si>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</si>
  <si>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</si>
  <si>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</si>
  <si>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</si>
  <si>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</si>
  <si>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</si>
  <si>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</si>
  <si>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</si>
  <si>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</si>
  <si>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</si>
  <si>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</si>
  <si>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</si>
  <si>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</si>
  <si>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</si>
  <si>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</si>
  <si>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</si>
  <si>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</si>
  <si>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</si>
  <si>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</si>
  <si>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</si>
  <si>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</si>
  <si>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</si>
  <si>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</si>
  <si>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</si>
  <si>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</si>
  <si>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</si>
  <si>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</si>
  <si>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</si>
  <si>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</si>
  <si>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</si>
  <si>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</si>
  <si>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</si>
  <si>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</si>
  <si>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</si>
  <si>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</si>
  <si>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</si>
  <si>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</si>
  <si>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</si>
  <si>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</si>
  <si>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</si>
  <si>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</si>
  <si>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</si>
  <si>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</si>
  <si>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</si>
  <si>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</si>
  <si>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</si>
  <si>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</si>
  <si>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</si>
  <si>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</si>
  <si>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</si>
  <si>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</si>
  <si>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</si>
  <si>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</si>
  <si>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</si>
  <si>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</si>
  <si>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</si>
  <si>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</si>
  <si>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</si>
  <si>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</si>
  <si>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</si>
  <si>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</si>
  <si>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</si>
  <si>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</si>
  <si>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</si>
  <si>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</si>
  <si>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</si>
  <si>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</si>
  <si>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</si>
  <si>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</si>
  <si>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</si>
  <si>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</si>
  <si>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</si>
  <si>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</si>
  <si>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</si>
  <si>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</si>
  <si>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</si>
  <si>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</si>
  <si>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</si>
  <si>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</si>
  <si>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</si>
  <si>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</si>
  <si>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</si>
  <si>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</si>
  <si>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</si>
  <si>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</si>
  <si>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</si>
  <si>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</si>
  <si>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</si>
  <si>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</si>
  <si>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</si>
  <si>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</si>
  <si>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</si>
  <si>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</si>
  <si>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</si>
  <si>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</si>
  <si>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</si>
  <si>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</si>
  <si>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</si>
  <si>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</si>
  <si>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</si>
  <si>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</si>
  <si>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</si>
  <si>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</si>
  <si>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</si>
  <si>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</si>
  <si>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</si>
  <si>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</si>
  <si>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</si>
  <si>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</si>
  <si>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</si>
  <si>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</si>
  <si>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</si>
  <si>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</si>
  <si>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</si>
  <si>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</si>
  <si>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</si>
  <si>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</si>
  <si>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</si>
  <si>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</si>
  <si>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</si>
  <si>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</si>
  <si>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</si>
  <si>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</si>
  <si>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</si>
  <si>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</si>
  <si>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</si>
  <si>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</si>
  <si>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</si>
  <si>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</si>
  <si>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</si>
  <si>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</si>
  <si>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</si>
  <si>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</si>
  <si>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</si>
  <si>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</si>
  <si>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</si>
  <si>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</si>
  <si>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</si>
  <si>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</si>
  <si>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</si>
  <si>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</si>
  <si>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</si>
  <si>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</si>
  <si>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</si>
  <si>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</si>
  <si>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</si>
  <si>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</si>
  <si>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</si>
  <si>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</si>
  <si>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</si>
  <si>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</si>
  <si>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</si>
  <si>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</si>
  <si>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</si>
  <si>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</si>
  <si>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</si>
  <si>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</si>
  <si>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</si>
  <si>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</si>
  <si>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</si>
  <si>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</si>
  <si>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</si>
  <si>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</si>
  <si>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</si>
  <si>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</si>
  <si>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</si>
  <si>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</si>
  <si>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</si>
  <si>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</si>
  <si>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</si>
  <si>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</si>
  <si>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</si>
  <si>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</si>
  <si>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</si>
  <si>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</si>
  <si>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</si>
  <si>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</si>
  <si>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</si>
  <si>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</si>
  <si>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</si>
  <si>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</si>
  <si>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</si>
  <si>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</si>
  <si>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</si>
  <si>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</si>
  <si>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</si>
  <si>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</si>
  <si>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</si>
  <si>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</si>
  <si>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</si>
  <si>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</si>
  <si>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</si>
  <si>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</si>
  <si>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</si>
  <si>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</si>
  <si>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</si>
  <si>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</si>
  <si>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</si>
  <si>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</si>
  <si>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</si>
  <si>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</si>
  <si>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</si>
  <si>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</si>
  <si>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</si>
  <si>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</si>
  <si>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</si>
  <si>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</si>
  <si>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</si>
  <si>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</si>
  <si>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</si>
  <si>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</si>
  <si>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</si>
  <si>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</si>
  <si>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</si>
  <si>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</si>
  <si>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</si>
  <si>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</si>
  <si>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</si>
  <si>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</si>
  <si>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</si>
  <si>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</si>
  <si>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</si>
  <si>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</si>
  <si>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</si>
  <si>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</si>
  <si>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</si>
  <si>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</si>
  <si>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</si>
  <si>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</si>
  <si>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</si>
  <si>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</si>
  <si>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</si>
  <si>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</si>
  <si>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</si>
  <si>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</si>
  <si>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</si>
  <si>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</si>
  <si>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</si>
  <si>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</si>
  <si>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</si>
  <si>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</si>
  <si>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</si>
  <si>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</si>
  <si>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</si>
  <si>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</si>
  <si>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</si>
  <si>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</si>
  <si>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</si>
  <si>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</si>
  <si>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</si>
  <si>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</si>
  <si>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</si>
  <si>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</si>
  <si>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</si>
  <si>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</si>
  <si>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</si>
  <si>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</si>
  <si>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</si>
  <si>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</si>
  <si>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</si>
  <si>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</si>
  <si>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</si>
  <si>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</si>
  <si>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</si>
  <si>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</si>
  <si>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</si>
  <si>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</si>
  <si>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</si>
  <si>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</si>
  <si>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</si>
  <si>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</si>
  <si>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</si>
  <si>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</si>
  <si>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</si>
  <si>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</si>
  <si>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</si>
  <si>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</si>
  <si>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</si>
  <si>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</si>
  <si>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</si>
  <si>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</si>
  <si>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</si>
  <si>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</si>
  <si>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</si>
  <si>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</si>
  <si>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</si>
  <si>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</si>
  <si>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</si>
  <si>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</si>
  <si>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</si>
  <si>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</si>
  <si>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</si>
  <si>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</si>
  <si>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</si>
  <si>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</si>
  <si>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</si>
  <si>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</si>
  <si>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</si>
  <si>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</si>
  <si>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</si>
  <si>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</si>
  <si>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</si>
  <si>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</si>
  <si>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</si>
  <si>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</si>
  <si>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</si>
  <si>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</si>
  <si>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</si>
  <si>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</si>
  <si>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</si>
  <si>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</si>
  <si>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</si>
  <si>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</si>
  <si>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</si>
  <si>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</si>
  <si>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</si>
  <si>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</si>
  <si>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</si>
  <si>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</si>
  <si>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</si>
  <si>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</si>
  <si>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</si>
  <si>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</si>
  <si>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</si>
  <si>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</si>
  <si>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</si>
  <si>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</si>
  <si>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</si>
  <si>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</si>
  <si>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</si>
  <si>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</si>
  <si>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</si>
  <si>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</si>
  <si>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</si>
  <si>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</si>
  <si>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</si>
  <si>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</si>
  <si>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</si>
  <si>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</si>
  <si>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</si>
  <si>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</si>
  <si>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</si>
  <si>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</si>
  <si>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</si>
  <si>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</si>
  <si>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</si>
  <si>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</si>
  <si>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</si>
  <si>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</si>
  <si>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</si>
  <si>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</si>
  <si>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</si>
  <si>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</si>
  <si>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</si>
  <si>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</si>
  <si>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</si>
  <si>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</si>
  <si>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</si>
  <si>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</si>
  <si>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</si>
  <si>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</si>
  <si>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</si>
  <si>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</si>
  <si>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</si>
  <si>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</si>
  <si>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</si>
  <si>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</si>
  <si>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</si>
  <si>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</si>
  <si>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</si>
  <si>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</si>
  <si>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</si>
  <si>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</si>
  <si>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</si>
  <si>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</si>
  <si>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</si>
  <si>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</si>
  <si>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</si>
  <si>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</si>
  <si>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</si>
  <si>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</si>
  <si>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</si>
  <si>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</si>
  <si>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</si>
  <si>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</si>
  <si>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</si>
  <si>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</si>
  <si>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</si>
  <si>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</si>
  <si>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</si>
  <si>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</si>
  <si>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</si>
  <si>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</si>
  <si>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</si>
  <si>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</si>
  <si>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</si>
  <si>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</si>
  <si>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</si>
  <si>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</si>
  <si>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</si>
  <si>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</si>
  <si>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</si>
  <si>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</si>
  <si>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</si>
  <si>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</si>
  <si>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</si>
  <si>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</si>
  <si>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</si>
  <si>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</si>
  <si>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</si>
  <si>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</si>
  <si>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</si>
  <si>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</si>
  <si>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</si>
  <si>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</si>
  <si>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</si>
  <si>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</si>
  <si>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</si>
  <si>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</si>
  <si>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</si>
  <si>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</si>
  <si>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</si>
  <si>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</si>
  <si>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</si>
  <si>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</si>
  <si>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</si>
  <si>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</si>
  <si>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</si>
  <si>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</si>
  <si>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</si>
  <si>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</si>
  <si>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</si>
  <si>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</si>
  <si>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</si>
  <si>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</si>
  <si>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</si>
  <si>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</si>
  <si>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</si>
  <si>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</si>
  <si>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</si>
  <si>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</si>
  <si>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</si>
  <si>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</si>
  <si>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</si>
  <si>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</si>
  <si>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</si>
  <si>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</si>
  <si>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</si>
  <si>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</si>
  <si>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</si>
  <si>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</si>
  <si>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</si>
  <si>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</si>
  <si>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</si>
  <si>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</si>
  <si>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</si>
  <si>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</si>
  <si>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</si>
  <si>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</si>
  <si>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</si>
  <si>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</si>
  <si>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</si>
  <si>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</si>
  <si>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</si>
  <si>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</si>
  <si>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</si>
  <si>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</si>
  <si>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</si>
  <si>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</si>
  <si>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</si>
  <si>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</si>
  <si>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</si>
  <si>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</si>
  <si>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</si>
  <si>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</si>
  <si>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</si>
  <si>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</si>
  <si>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</si>
  <si>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</si>
  <si>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</si>
  <si>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</si>
  <si>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</si>
  <si>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</si>
  <si>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</si>
  <si>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</si>
  <si>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</si>
  <si>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</si>
  <si>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</si>
  <si>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</si>
  <si>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</si>
  <si>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</si>
  <si>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</si>
  <si>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</si>
  <si>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</si>
  <si>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</si>
  <si>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</si>
  <si>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</si>
  <si>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</si>
  <si>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</si>
  <si>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</si>
  <si>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</si>
  <si>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</si>
  <si>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</si>
  <si>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</si>
  <si>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</si>
  <si>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</si>
  <si>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</si>
  <si>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</si>
  <si>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</si>
  <si>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</si>
  <si>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</si>
  <si>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</si>
  <si>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</si>
  <si>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</si>
  <si>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</si>
  <si>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</si>
  <si>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</si>
  <si>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</si>
  <si>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</si>
  <si>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</si>
  <si>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</si>
  <si>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</si>
  <si>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</si>
  <si>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</si>
  <si>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</si>
  <si>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</si>
  <si>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</si>
  <si>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</si>
  <si>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</si>
  <si>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</si>
  <si>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</si>
  <si>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</si>
  <si>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</si>
  <si>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</si>
  <si>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</si>
  <si>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</si>
  <si>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</si>
  <si>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</si>
  <si>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</si>
  <si>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</si>
  <si>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</si>
  <si>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</si>
  <si>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</si>
  <si>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</si>
  <si>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</si>
  <si>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</si>
  <si>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</si>
  <si>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</si>
  <si>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</si>
  <si>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</si>
  <si>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</si>
  <si>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</si>
  <si>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</si>
  <si>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</si>
  <si>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</si>
  <si>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</si>
  <si>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</si>
  <si>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</si>
  <si>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</si>
  <si>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</si>
  <si>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</si>
  <si>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</si>
  <si>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</si>
  <si>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</si>
  <si>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</si>
  <si>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</si>
  <si>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</si>
  <si>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</si>
  <si>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</si>
  <si>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</si>
  <si>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</si>
  <si>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</si>
  <si>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</si>
  <si>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</si>
  <si>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</si>
  <si>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</si>
  <si>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</si>
  <si>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</si>
  <si>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</si>
  <si>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</si>
  <si>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</si>
  <si>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</si>
  <si>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</si>
  <si>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</si>
  <si>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</si>
  <si>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</si>
  <si>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</si>
  <si>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</si>
  <si>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</si>
  <si>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</si>
  <si>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</si>
  <si>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</si>
  <si>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</si>
  <si>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</si>
  <si>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</si>
  <si>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</si>
  <si>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</si>
  <si>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</si>
  <si>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</si>
  <si>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</si>
  <si>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</si>
  <si>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</si>
  <si>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</si>
  <si>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</si>
  <si>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</si>
  <si>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</si>
  <si>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</si>
  <si>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</si>
  <si>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</si>
  <si>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</si>
  <si>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</si>
  <si>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</si>
  <si>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</si>
  <si>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</si>
  <si>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</si>
  <si>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</si>
  <si>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</si>
  <si>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</si>
  <si>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</si>
  <si>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</si>
  <si>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</si>
  <si>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</si>
  <si>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</si>
  <si>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</si>
  <si>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</si>
  <si>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</si>
  <si>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</si>
  <si>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</si>
  <si>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</si>
  <si>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</si>
  <si>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</si>
  <si>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</si>
  <si>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</si>
  <si>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</si>
  <si>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</si>
  <si>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</si>
  <si>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</si>
  <si>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</si>
  <si>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</si>
  <si>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</si>
  <si>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</si>
  <si>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</si>
  <si>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</si>
  <si>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</si>
  <si>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</si>
  <si>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</si>
  <si>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</si>
  <si>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</si>
  <si>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</si>
  <si>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</si>
  <si>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</si>
  <si>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</si>
  <si>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</si>
  <si>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</si>
  <si>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</si>
  <si>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</si>
  <si>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</si>
  <si>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</si>
  <si>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</si>
  <si>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</si>
  <si>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</si>
  <si>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</si>
  <si>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</si>
  <si>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</si>
  <si>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</si>
  <si>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</si>
  <si>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</si>
  <si>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</si>
  <si>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</si>
  <si>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</si>
  <si>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</si>
  <si>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</si>
  <si>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</si>
  <si>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</si>
  <si>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</si>
  <si>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</si>
  <si>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</si>
  <si>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</si>
  <si>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</si>
  <si>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</si>
  <si>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</si>
  <si>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</si>
  <si>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</si>
  <si>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</si>
  <si>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</si>
  <si>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</si>
  <si>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</si>
  <si>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</si>
  <si>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</si>
  <si>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</si>
  <si>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</si>
  <si>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</si>
  <si>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</si>
  <si>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</si>
  <si>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</si>
  <si>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</si>
  <si>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</si>
  <si>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</si>
  <si>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</si>
  <si>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</si>
  <si>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</si>
  <si>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</si>
  <si>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</si>
  <si>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</si>
  <si>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</si>
  <si>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</si>
  <si>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</si>
  <si>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</si>
  <si>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</si>
  <si>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</si>
  <si>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</si>
  <si>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</si>
  <si>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</si>
  <si>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</si>
  <si>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</si>
  <si>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</si>
  <si>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</si>
  <si>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</si>
  <si>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</si>
  <si>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</si>
  <si>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</si>
  <si>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</si>
  <si>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</si>
  <si>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</si>
  <si>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</si>
  <si>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</si>
  <si>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</si>
  <si>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</si>
  <si>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</si>
  <si>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</si>
  <si>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</si>
  <si>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</si>
  <si>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</si>
  <si>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</si>
  <si>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</si>
  <si>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</si>
  <si>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</si>
  <si>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</si>
  <si>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</si>
  <si>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</si>
  <si>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</si>
  <si>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</si>
  <si>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</si>
  <si>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</si>
  <si>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</si>
  <si>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</si>
  <si>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</si>
  <si>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</si>
  <si>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</si>
  <si>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</si>
  <si>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</si>
  <si>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</si>
  <si>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</si>
  <si>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</si>
  <si>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</si>
  <si>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</si>
  <si>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</si>
  <si>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</si>
  <si>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</si>
  <si>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</si>
  <si>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</si>
  <si>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</si>
  <si>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</si>
  <si>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</si>
  <si>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</si>
  <si>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</si>
  <si>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</si>
  <si>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</si>
  <si>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</si>
  <si>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</si>
  <si>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</si>
  <si>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</si>
  <si>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</si>
  <si>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</si>
  <si>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</si>
  <si>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</si>
  <si>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</si>
  <si>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</si>
  <si>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</si>
  <si>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</si>
  <si>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</si>
  <si>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</si>
  <si>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</si>
  <si>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</si>
  <si>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</si>
  <si>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</si>
  <si>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</si>
  <si>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</si>
  <si>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</si>
  <si>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</si>
  <si>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</si>
  <si>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</si>
  <si>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</si>
  <si>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</si>
  <si>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</si>
  <si>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</si>
  <si>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</si>
  <si>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</si>
  <si>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</si>
  <si>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</si>
  <si>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</si>
  <si>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</si>
  <si>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</si>
  <si>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</si>
  <si>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</si>
  <si>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</si>
  <si>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</si>
  <si>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</si>
  <si>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</si>
  <si>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</si>
  <si>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</si>
  <si>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</si>
  <si>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</si>
  <si>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</si>
  <si>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</si>
  <si>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</si>
  <si>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</si>
  <si>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</si>
  <si>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</si>
  <si>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</si>
  <si>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</si>
  <si>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</si>
  <si>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</si>
  <si>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</si>
  <si>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</si>
  <si>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</si>
  <si>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</si>
  <si>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</si>
  <si>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</si>
  <si>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</si>
  <si>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</si>
  <si>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</si>
  <si>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</si>
  <si>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</si>
  <si>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</si>
  <si>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</si>
  <si>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</si>
  <si>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</si>
  <si>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</si>
  <si>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</si>
  <si>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</si>
  <si>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</si>
  <si>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</si>
  <si>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</si>
  <si>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</si>
  <si>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</si>
  <si>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</si>
  <si>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</si>
  <si>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</si>
  <si>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</si>
  <si>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</si>
  <si>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</si>
  <si>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</si>
  <si>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</si>
  <si>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</si>
  <si>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</si>
  <si>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</si>
  <si>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</si>
  <si>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</si>
  <si>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</si>
  <si>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</si>
  <si>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</si>
  <si>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</si>
  <si>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</si>
  <si>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</si>
  <si>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</si>
  <si>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</si>
  <si>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</si>
  <si>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</si>
  <si>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</si>
  <si>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</si>
  <si>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</si>
  <si>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</si>
  <si>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</si>
  <si>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</si>
  <si>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</si>
  <si>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</si>
  <si>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</si>
  <si>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</si>
  <si>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</si>
  <si>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</si>
  <si>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</si>
  <si>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</si>
  <si>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</si>
  <si>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</si>
  <si>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</si>
  <si>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</si>
  <si>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</si>
  <si>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</si>
  <si>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</si>
  <si>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</si>
  <si>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</si>
  <si>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</si>
  <si>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</si>
  <si>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</si>
  <si>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</si>
  <si>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</si>
  <si>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</si>
  <si>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</si>
  <si>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</si>
  <si>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</si>
  <si>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</si>
  <si>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</si>
  <si>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</si>
  <si>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</si>
  <si>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</si>
  <si>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</si>
  <si>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</si>
  <si>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</si>
  <si>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</si>
  <si>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</si>
  <si>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</si>
  <si>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</si>
  <si>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</si>
  <si>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</si>
  <si>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</si>
  <si>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</si>
  <si>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</si>
  <si>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</si>
  <si>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</si>
  <si>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</si>
  <si>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</si>
  <si>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</si>
  <si>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</si>
  <si>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</si>
  <si>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</si>
  <si>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</si>
  <si>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</si>
  <si>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</si>
  <si>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</si>
  <si>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</si>
  <si>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</si>
  <si>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</si>
  <si>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</si>
  <si>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</si>
  <si>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</si>
  <si>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</si>
  <si>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</si>
  <si>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</si>
  <si>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</si>
  <si>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</si>
  <si>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</si>
  <si>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</si>
  <si>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</si>
  <si>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</si>
  <si>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</si>
  <si>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</si>
  <si>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</si>
  <si>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</si>
  <si>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</si>
  <si>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</si>
  <si>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</si>
  <si>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</si>
  <si>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</si>
  <si>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</si>
  <si>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</si>
  <si>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</si>
  <si>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</si>
  <si>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</si>
  <si>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</si>
  <si>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</si>
  <si>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</si>
  <si>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</si>
  <si>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</si>
  <si>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</si>
  <si>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</si>
  <si>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</si>
  <si>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</si>
  <si>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</si>
  <si>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</si>
  <si>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</si>
  <si>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</si>
  <si>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</si>
  <si>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</si>
  <si>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</si>
  <si>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</si>
  <si>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</si>
  <si>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</si>
  <si>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</si>
  <si>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</si>
  <si>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</si>
  <si>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</si>
  <si>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</si>
  <si>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</si>
  <si>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</si>
  <si>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</si>
  <si>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</si>
  <si>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</si>
  <si>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</si>
  <si>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</si>
  <si>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</si>
  <si>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</si>
  <si>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</si>
  <si>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</si>
  <si>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</si>
  <si>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</si>
  <si>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</si>
  <si>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</si>
  <si>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</si>
  <si>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</si>
  <si>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</si>
  <si>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</si>
  <si>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</si>
  <si>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</si>
  <si>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</si>
  <si>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</si>
  <si>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</si>
  <si>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</si>
  <si>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</si>
  <si>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</si>
  <si>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</si>
  <si>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</si>
  <si>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</si>
  <si>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</si>
  <si>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</si>
  <si>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</si>
  <si>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</si>
  <si>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</si>
  <si>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</si>
  <si>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</si>
  <si>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</si>
  <si>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</si>
  <si>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</si>
  <si>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</si>
  <si>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</si>
  <si>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</si>
  <si>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</si>
  <si>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</si>
  <si>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</si>
  <si>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</si>
  <si>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</si>
  <si>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</si>
  <si>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</si>
  <si>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</si>
  <si>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</si>
  <si>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</si>
  <si>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</si>
  <si>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</si>
  <si>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</si>
  <si>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</si>
  <si>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</si>
  <si>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</si>
  <si>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</si>
  <si>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</si>
  <si>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</si>
  <si>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</si>
  <si>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</si>
  <si>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</si>
  <si>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</si>
  <si>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</si>
  <si>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</si>
  <si>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</si>
  <si>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</si>
  <si>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</si>
  <si>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</si>
  <si>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</si>
  <si>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</si>
  <si>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</si>
  <si>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</si>
  <si>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</si>
  <si>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</si>
  <si>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</si>
  <si>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</si>
  <si>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</si>
  <si>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</si>
  <si>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</si>
  <si>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</si>
  <si>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</si>
  <si>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</si>
  <si>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</si>
  <si>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</si>
  <si>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</si>
  <si>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</si>
  <si>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</si>
  <si>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</si>
  <si>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</si>
  <si>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</si>
  <si>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</si>
  <si>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</si>
  <si>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</si>
  <si>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</si>
  <si>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</si>
  <si>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</si>
  <si>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</si>
  <si>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</si>
  <si>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</si>
  <si>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</si>
  <si>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</si>
  <si>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</si>
  <si>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</si>
  <si>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</si>
  <si>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</si>
  <si>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</si>
  <si>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</si>
  <si>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</si>
  <si>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</si>
  <si>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</si>
  <si>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</si>
  <si>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</si>
  <si>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</si>
  <si>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</si>
  <si>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</si>
  <si>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</si>
  <si>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</si>
  <si>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</si>
  <si>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</si>
  <si>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</si>
  <si>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</si>
  <si>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</si>
  <si>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</si>
  <si>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</si>
  <si>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</si>
  <si>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</si>
  <si>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</si>
  <si>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</si>
  <si>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</si>
  <si>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</si>
  <si>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</si>
  <si>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</si>
  <si>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</si>
  <si>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</si>
  <si>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</si>
  <si>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</si>
  <si>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</si>
  <si>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</si>
  <si>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</si>
  <si>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</si>
  <si>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</si>
  <si>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</si>
  <si>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</si>
  <si>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</si>
  <si>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</si>
  <si>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</si>
  <si>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</si>
  <si>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</si>
  <si>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</si>
  <si>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</si>
  <si>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</si>
  <si>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</si>
  <si>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</si>
  <si>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</si>
  <si>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</si>
  <si>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</si>
  <si>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</si>
  <si>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</si>
  <si>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</si>
  <si>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</si>
  <si>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</si>
  <si>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</si>
  <si>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</si>
  <si>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</si>
  <si>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</si>
  <si>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</si>
  <si>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</si>
  <si>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</si>
  <si>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</si>
  <si>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</si>
  <si>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</si>
  <si>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</si>
  <si>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</si>
  <si>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</si>
  <si>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</si>
  <si>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</si>
  <si>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</si>
  <si>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</si>
  <si>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</si>
  <si>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</si>
  <si>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</si>
  <si>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</si>
  <si>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</si>
  <si>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</si>
  <si>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</si>
  <si>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</si>
  <si>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</si>
  <si>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</si>
  <si>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</si>
  <si>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</si>
  <si>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</si>
  <si>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</si>
  <si>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</si>
  <si>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</si>
  <si>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</si>
  <si>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</si>
  <si>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</si>
  <si>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</si>
  <si>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</si>
  <si>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</si>
  <si>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</si>
  <si>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</si>
  <si>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</si>
  <si>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</si>
  <si>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</si>
  <si>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</si>
  <si>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</si>
  <si>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</si>
  <si>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</si>
  <si>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</si>
  <si>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</si>
  <si>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</si>
  <si>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</si>
  <si>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</si>
  <si>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</si>
  <si>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</si>
  <si>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</si>
  <si>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</si>
  <si>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</si>
  <si>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</si>
  <si>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</si>
  <si>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</si>
  <si>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</si>
  <si>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</si>
  <si>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</si>
  <si>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</si>
  <si>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</si>
  <si>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</si>
  <si>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</si>
  <si>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</si>
  <si>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</si>
  <si>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</si>
  <si>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</si>
  <si>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</si>
  <si>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</si>
  <si>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</si>
  <si>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</si>
  <si>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</si>
  <si>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</si>
  <si>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</si>
  <si>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</si>
  <si>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</si>
  <si>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</si>
  <si>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</si>
  <si>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</si>
  <si>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</si>
  <si>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</si>
  <si>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</si>
  <si>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</si>
  <si>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</si>
  <si>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</si>
  <si>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</si>
  <si>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</si>
  <si>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</si>
  <si>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</si>
  <si>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</si>
  <si>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</si>
  <si>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</si>
  <si>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</si>
  <si>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</si>
  <si>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</si>
  <si>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</si>
  <si>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</si>
  <si>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</si>
  <si>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</si>
  <si>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</si>
  <si>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</si>
  <si>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</si>
  <si>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</si>
  <si>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</si>
  <si>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</si>
  <si>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</si>
  <si>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</si>
  <si>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</si>
  <si>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</si>
  <si>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</si>
  <si>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</si>
  <si>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</si>
  <si>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</si>
  <si>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</si>
  <si>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</si>
  <si>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</si>
  <si>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</si>
  <si>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</si>
  <si>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</si>
  <si>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</si>
  <si>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</si>
  <si>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</si>
  <si>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</si>
  <si>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</si>
  <si>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</si>
  <si>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</si>
  <si>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</si>
  <si>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</si>
  <si>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</si>
  <si>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</si>
  <si>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</si>
  <si>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</si>
  <si>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</si>
  <si>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</si>
  <si>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</si>
  <si>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</si>
  <si>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</si>
  <si>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</si>
  <si>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</si>
  <si>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</si>
  <si>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</si>
  <si>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</si>
  <si>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</si>
  <si>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</si>
  <si>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</si>
  <si>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</si>
  <si>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</si>
  <si>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</si>
  <si>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</si>
  <si>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</si>
  <si>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</si>
  <si>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</si>
  <si>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</si>
  <si>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</si>
  <si>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</si>
  <si>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</si>
  <si>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</si>
  <si>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</si>
  <si>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</si>
  <si>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</si>
  <si>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</si>
  <si>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</si>
  <si>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</si>
  <si>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</si>
  <si>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</si>
  <si>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</si>
  <si>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</si>
  <si>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</si>
  <si>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</si>
  <si>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</si>
  <si>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</si>
  <si>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</si>
  <si>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</si>
  <si>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</si>
  <si>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</si>
  <si>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</si>
  <si>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</si>
  <si>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</si>
  <si>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</si>
  <si>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</si>
  <si>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</si>
  <si>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</si>
  <si>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</si>
  <si>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</si>
  <si>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</si>
  <si>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</si>
  <si>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</si>
  <si>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</si>
  <si>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</si>
  <si>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</si>
  <si>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</si>
  <si>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</si>
  <si>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</si>
  <si>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</si>
  <si>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</si>
  <si>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</si>
  <si>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</si>
  <si>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</si>
  <si>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</si>
  <si>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State Farmworker Credit?</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</si>
  <si>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</si>
  <si>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</si>
  <si>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</si>
  <si>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</si>
  <si>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</si>
  <si>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</si>
  <si>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</si>
  <si>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</si>
  <si>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</si>
  <si>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</si>
  <si>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</si>
  <si>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</si>
  <si>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</si>
  <si>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</si>
  <si>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</si>
  <si>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</si>
  <si>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</si>
  <si>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</si>
  <si>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</si>
  <si>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</si>
  <si>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</si>
  <si>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</si>
  <si>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</si>
  <si>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</si>
  <si>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</si>
  <si>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</si>
  <si>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</si>
  <si>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</si>
  <si>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</si>
  <si>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</si>
  <si>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</si>
  <si>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</si>
  <si>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</si>
  <si>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</si>
  <si>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</si>
  <si>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</si>
  <si>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</si>
  <si>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</si>
  <si>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</si>
  <si>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</si>
  <si>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</si>
  <si>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</si>
  <si>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</si>
  <si>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</si>
  <si>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</si>
  <si>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</si>
  <si>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</si>
  <si>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</si>
  <si>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</si>
  <si>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</si>
  <si>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</si>
  <si>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</si>
  <si>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</si>
  <si>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</si>
  <si>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</si>
  <si>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</si>
  <si>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</si>
  <si>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</si>
  <si>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</si>
  <si>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</si>
  <si>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</si>
  <si>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</si>
  <si>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</si>
  <si>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</si>
  <si>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</si>
  <si>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</si>
  <si>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</si>
  <si>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</si>
  <si>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</si>
  <si>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</si>
  <si>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</si>
  <si>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</si>
  <si>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</si>
  <si>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</si>
  <si>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</si>
  <si>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</si>
  <si>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</si>
  <si>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</si>
  <si>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</si>
  <si>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</si>
  <si>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</si>
  <si>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</si>
  <si>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</si>
  <si>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</si>
  <si>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</si>
  <si>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</si>
  <si>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</si>
  <si>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</si>
  <si>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</si>
  <si>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</si>
  <si>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</si>
  <si>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</si>
  <si>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</si>
  <si>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</si>
  <si>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</si>
  <si>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</si>
  <si>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</si>
  <si>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</si>
  <si>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</si>
  <si>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</si>
  <si>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</si>
  <si>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</si>
  <si>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</si>
  <si>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</si>
  <si>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</si>
  <si>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</si>
  <si>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</si>
  <si>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</si>
  <si>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</si>
  <si>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</si>
  <si>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</si>
  <si>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</si>
  <si>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</si>
  <si>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</si>
  <si>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</si>
  <si>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</si>
  <si>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</si>
  <si>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</si>
  <si>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</si>
  <si>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</si>
  <si>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</si>
  <si>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</si>
  <si>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</si>
  <si>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</si>
  <si>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</si>
  <si>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</si>
  <si>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</si>
  <si>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</si>
  <si>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</si>
  <si>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</si>
  <si>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</si>
  <si>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</si>
  <si>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</si>
  <si>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</si>
  <si>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</si>
  <si>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</si>
  <si>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</si>
  <si>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</si>
  <si>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</si>
  <si>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</si>
  <si>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</si>
  <si>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</si>
  <si>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</si>
  <si>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</si>
  <si>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</si>
  <si>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</si>
  <si>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</si>
  <si>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</si>
  <si>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</si>
  <si>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</si>
  <si>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</si>
  <si>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</si>
  <si>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</si>
  <si>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</si>
  <si>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</si>
  <si>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</si>
  <si>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</si>
  <si>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</si>
  <si>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</si>
  <si>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</si>
  <si>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</si>
  <si>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</si>
  <si>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</si>
  <si>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</si>
  <si>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</si>
  <si>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</si>
  <si>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</si>
  <si>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</si>
  <si>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</si>
  <si>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</si>
  <si>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</si>
  <si>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</si>
  <si>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</si>
  <si>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</si>
  <si>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</si>
  <si>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</si>
  <si>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</si>
  <si>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</si>
  <si>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</si>
  <si>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</si>
  <si>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</si>
  <si>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</si>
  <si>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</si>
  <si>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</si>
  <si>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</si>
  <si>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</si>
  <si>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</si>
  <si>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</si>
  <si>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</si>
  <si>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</si>
  <si>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</si>
  <si>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</si>
  <si>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</si>
  <si>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</si>
  <si>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</si>
  <si>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</si>
  <si>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</si>
  <si>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</si>
  <si>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</si>
  <si>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</si>
  <si>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</si>
  <si>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</si>
  <si>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</si>
  <si>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</si>
  <si>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</si>
  <si>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</si>
  <si>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</si>
  <si>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</si>
  <si>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</si>
  <si>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</si>
  <si>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</si>
  <si>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</si>
  <si>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</si>
  <si>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</si>
  <si>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</si>
  <si>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</si>
  <si>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</si>
  <si>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</si>
  <si>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</si>
  <si>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</si>
  <si>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</si>
  <si>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</si>
  <si>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</si>
  <si>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</si>
  <si>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</si>
  <si>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</si>
  <si>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</si>
  <si>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</si>
  <si>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</si>
  <si>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</si>
  <si>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</si>
  <si>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</si>
  <si>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</si>
  <si>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</si>
  <si>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</si>
  <si>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</si>
  <si>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</si>
  <si>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</si>
  <si>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</si>
  <si>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</si>
  <si>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</si>
  <si>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</si>
  <si>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</si>
  <si>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</si>
  <si>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</si>
  <si>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</si>
  <si>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</si>
  <si>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</si>
  <si>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</si>
  <si>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</si>
  <si>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</si>
  <si>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</si>
  <si>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</si>
  <si>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</si>
  <si>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</si>
  <si>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</si>
  <si>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</si>
  <si>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</si>
  <si>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</si>
  <si>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</si>
  <si>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</si>
  <si>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</si>
  <si>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</si>
  <si>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</si>
  <si>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</si>
  <si>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</si>
  <si>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</si>
  <si>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</si>
  <si>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</si>
  <si>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</si>
  <si>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</si>
  <si>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</si>
  <si>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</si>
  <si>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</si>
  <si>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</si>
  <si>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</si>
  <si>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</si>
  <si>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</si>
  <si>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</si>
  <si>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</si>
  <si>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</si>
  <si>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</si>
  <si>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</si>
  <si>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</si>
  <si>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</si>
  <si>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</si>
  <si>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</si>
  <si>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</si>
  <si>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</si>
  <si>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</si>
  <si>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</si>
  <si>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</si>
  <si>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</si>
  <si>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</si>
  <si>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</si>
  <si>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</si>
  <si>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</si>
  <si>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</si>
  <si>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</si>
  <si>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</si>
  <si>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</si>
  <si>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</si>
  <si>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</si>
  <si>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</si>
  <si>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</si>
  <si>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</si>
  <si>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</si>
  <si>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</si>
  <si>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</si>
  <si>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</si>
  <si>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</si>
  <si>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</si>
  <si>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</si>
  <si>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</si>
  <si>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</si>
  <si>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</si>
  <si>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</si>
  <si>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</si>
  <si>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</si>
  <si>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</si>
  <si>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</si>
  <si>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</si>
  <si>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</si>
  <si>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</si>
  <si>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</si>
  <si>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</si>
  <si>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</si>
  <si>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</si>
  <si>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</si>
  <si>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</si>
  <si>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</si>
  <si>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</si>
  <si>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</si>
  <si>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</si>
  <si>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</si>
  <si>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</si>
  <si>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</si>
  <si>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</si>
  <si>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</si>
  <si>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</si>
  <si>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</si>
  <si>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</si>
  <si>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</si>
  <si>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</si>
  <si>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</si>
  <si>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</si>
  <si>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</si>
  <si>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</si>
  <si>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</si>
  <si>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</si>
  <si>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</si>
  <si>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</si>
  <si>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</si>
  <si>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</si>
  <si>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</si>
  <si>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</si>
  <si>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</si>
  <si>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</si>
  <si>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</si>
  <si>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</si>
  <si>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</si>
  <si>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</si>
  <si>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</si>
  <si>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</si>
  <si>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</si>
  <si>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</si>
  <si>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</si>
  <si>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</si>
  <si>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</si>
  <si>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</si>
  <si>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</si>
  <si>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</si>
  <si>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</si>
  <si>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</si>
  <si>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</si>
  <si>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</si>
  <si>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</si>
  <si>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</si>
  <si>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</si>
  <si>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</si>
  <si>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</si>
  <si>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</si>
  <si>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</si>
  <si>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</si>
  <si>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</si>
  <si>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</si>
  <si>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</si>
  <si>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</si>
  <si>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</si>
  <si>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</si>
  <si>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</si>
  <si>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</si>
  <si>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</si>
  <si>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</si>
  <si>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</si>
  <si>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</si>
  <si>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</si>
  <si>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</si>
  <si>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</si>
  <si>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</si>
  <si>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</si>
  <si>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</si>
  <si>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</si>
  <si>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</si>
  <si>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</si>
  <si>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</si>
  <si>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</si>
  <si>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</si>
  <si>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</si>
  <si>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</si>
  <si>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</si>
  <si>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</si>
  <si>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</si>
  <si>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</si>
  <si>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</si>
  <si>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</si>
  <si>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</si>
  <si>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</si>
  <si>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</si>
  <si>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</si>
  <si>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</si>
  <si>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</si>
  <si>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</si>
  <si>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</si>
  <si>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</si>
  <si>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</si>
  <si>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</si>
  <si>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</si>
  <si>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</si>
  <si>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</si>
  <si>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</si>
  <si>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</si>
  <si>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</si>
  <si>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</si>
  <si>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</si>
  <si>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</si>
  <si>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</si>
  <si>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</si>
  <si>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</si>
  <si>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</si>
  <si>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</si>
  <si>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</si>
  <si>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</si>
  <si>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</si>
  <si>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</si>
  <si>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</si>
  <si>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</si>
  <si>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</si>
  <si>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</si>
  <si>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</si>
  <si>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</si>
  <si>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</si>
  <si>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</si>
  <si>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</si>
  <si>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</si>
  <si>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</si>
  <si>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</si>
  <si>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</si>
  <si>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</si>
  <si>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</si>
  <si>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</si>
  <si>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</si>
  <si>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</si>
  <si>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</si>
  <si>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</si>
  <si>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</si>
  <si>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</si>
  <si>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</si>
  <si>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</si>
  <si>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</si>
  <si>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</si>
  <si>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</si>
  <si>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</si>
  <si>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</si>
  <si>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</si>
  <si>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</si>
  <si>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</si>
  <si>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</si>
  <si>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</si>
  <si>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</si>
  <si>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</si>
  <si>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</si>
  <si>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</si>
  <si>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</si>
  <si>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</si>
  <si>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</si>
  <si>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</si>
  <si>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</si>
  <si>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</si>
  <si>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</si>
  <si>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</si>
  <si>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</si>
  <si>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</si>
  <si>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</si>
  <si>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</si>
  <si>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</si>
  <si>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</si>
  <si>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</si>
  <si>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</si>
  <si>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</si>
  <si>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</si>
  <si>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</si>
  <si>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</si>
  <si>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</si>
  <si>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</si>
  <si>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</si>
  <si>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</si>
  <si>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</si>
  <si>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</si>
  <si>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</si>
  <si>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</si>
  <si>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</si>
  <si>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</si>
  <si>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</si>
  <si>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</si>
  <si>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</si>
  <si>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</si>
  <si>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</si>
  <si>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</si>
  <si>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</si>
  <si>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</si>
  <si>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</si>
  <si>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</si>
  <si>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</si>
  <si>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</si>
  <si>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</si>
  <si>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</si>
  <si>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</si>
  <si>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</si>
  <si>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</si>
  <si>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</si>
  <si>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</si>
  <si>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</si>
  <si>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</si>
  <si>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</si>
  <si>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</si>
  <si>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</si>
  <si>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</si>
  <si>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</si>
  <si>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</si>
  <si>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</si>
  <si>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</si>
  <si>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</si>
  <si>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</si>
  <si>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</si>
  <si>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</si>
  <si>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</si>
  <si>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</si>
  <si>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</si>
  <si>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</si>
  <si>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</si>
  <si>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</si>
  <si>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</si>
  <si>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</si>
  <si>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</si>
  <si>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</si>
  <si>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</si>
  <si>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</si>
  <si>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</si>
  <si>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</si>
  <si>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</si>
  <si>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</si>
  <si>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</si>
  <si>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</si>
  <si>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</si>
  <si>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</si>
  <si>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</si>
  <si>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</si>
  <si>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</si>
  <si>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</si>
  <si>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</si>
  <si>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</si>
  <si>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</si>
  <si>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</si>
  <si>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</si>
  <si>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</si>
  <si>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</si>
  <si>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</si>
  <si>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</si>
  <si>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</si>
  <si>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</si>
  <si>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</si>
  <si>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</si>
  <si>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</si>
  <si>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</si>
  <si>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</si>
  <si>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</si>
  <si>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</si>
  <si>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</si>
  <si>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</si>
  <si>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</si>
  <si>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</si>
  <si>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</si>
  <si>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</si>
  <si>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</si>
  <si>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</si>
  <si>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</si>
  <si>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</si>
  <si>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</si>
  <si>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</si>
  <si>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</si>
  <si>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</si>
  <si>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</si>
  <si>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</si>
  <si>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</si>
  <si>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</si>
  <si>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</si>
  <si>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</si>
  <si>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</si>
  <si>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</si>
  <si>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</si>
  <si>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</si>
  <si>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</si>
  <si>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</si>
  <si>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</si>
  <si>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</si>
  <si>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</si>
  <si>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</si>
  <si>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</si>
  <si>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</si>
  <si>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</si>
  <si>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</si>
  <si>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</si>
  <si>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</si>
  <si>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</si>
  <si>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</si>
  <si>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</si>
  <si>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</si>
  <si>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</si>
  <si>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</si>
  <si>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</si>
  <si>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</si>
  <si>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</si>
  <si>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</si>
  <si>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</si>
  <si>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</si>
  <si>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</si>
  <si>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</si>
  <si>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</si>
  <si>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</si>
  <si>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</si>
  <si>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</si>
  <si>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</si>
  <si>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</si>
  <si>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</si>
  <si>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</si>
  <si>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</si>
  <si>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</si>
  <si>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</si>
  <si>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</si>
  <si>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</si>
  <si>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</si>
  <si>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</si>
  <si>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</si>
  <si>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</si>
  <si>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</si>
  <si>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</si>
  <si>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</si>
  <si>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</si>
  <si>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</si>
  <si>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</si>
  <si>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</si>
  <si>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</si>
  <si>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</si>
  <si>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</si>
  <si>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</si>
  <si>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</si>
  <si>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</si>
  <si>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</si>
  <si>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</si>
  <si>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</si>
  <si>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</si>
  <si>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</si>
  <si>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</si>
  <si>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</si>
  <si>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</si>
  <si>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</si>
  <si>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</si>
  <si>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</si>
  <si>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</si>
  <si>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</si>
  <si>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</si>
  <si>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</si>
  <si>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</si>
  <si>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</si>
  <si>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</si>
  <si>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</si>
  <si>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</si>
  <si>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</si>
  <si>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</si>
  <si>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</si>
  <si>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</si>
  <si>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</si>
  <si>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</si>
  <si>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</si>
  <si>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</si>
  <si>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</si>
  <si>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</si>
  <si>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</si>
  <si>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</si>
  <si>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</si>
  <si>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</si>
  <si>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</si>
  <si>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</si>
  <si>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</si>
  <si>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</si>
  <si>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</si>
  <si>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</si>
  <si>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</si>
  <si>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</si>
  <si>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</si>
  <si>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</si>
  <si>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</si>
  <si>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</si>
  <si>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</si>
  <si>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</si>
  <si>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</si>
  <si>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</si>
  <si>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</si>
  <si>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</si>
  <si>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</si>
  <si>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</si>
  <si>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</si>
  <si>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</si>
  <si>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</si>
  <si>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</si>
  <si>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</si>
  <si>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</si>
  <si>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</si>
  <si>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</si>
  <si>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</si>
  <si>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</si>
  <si>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</si>
  <si>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</si>
  <si>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</si>
  <si>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</si>
  <si>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</si>
  <si>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</si>
  <si>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</si>
  <si>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</si>
  <si>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</si>
  <si>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</si>
  <si>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</si>
  <si>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</si>
  <si>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</si>
  <si>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</si>
  <si>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</si>
  <si>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</si>
  <si>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</si>
  <si>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</si>
  <si>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</si>
  <si>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</si>
  <si>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</si>
  <si>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</si>
  <si>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</si>
  <si>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</si>
  <si>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</si>
  <si>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</si>
  <si>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</si>
  <si>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</si>
  <si>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</si>
  <si>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</si>
  <si>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</si>
  <si>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</si>
  <si>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</si>
  <si>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</si>
  <si>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</si>
  <si>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</si>
  <si>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</si>
  <si>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</si>
  <si>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</si>
  <si>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</si>
  <si>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</si>
  <si>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</si>
  <si>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</si>
  <si>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</si>
  <si>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</si>
  <si>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</si>
  <si>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</si>
  <si>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</si>
  <si>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</si>
  <si>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</si>
  <si>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</si>
  <si>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</si>
  <si>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</si>
  <si>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</si>
  <si>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</si>
  <si>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</si>
  <si>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</si>
  <si>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</si>
  <si>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</si>
  <si>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</si>
  <si>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</si>
  <si>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</si>
  <si>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</si>
  <si>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</si>
  <si>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</si>
  <si>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</si>
  <si>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</si>
  <si>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</si>
  <si>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</si>
  <si>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</si>
  <si>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</si>
  <si>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</si>
  <si>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</si>
  <si>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</si>
  <si>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</si>
  <si>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</si>
  <si>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</si>
  <si>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</si>
  <si>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</si>
  <si>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</si>
  <si>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</si>
  <si>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</si>
  <si>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</si>
  <si>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</si>
  <si>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</si>
  <si>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</si>
  <si>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</si>
  <si>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</si>
  <si>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</si>
  <si>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</si>
  <si>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</si>
  <si>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</si>
  <si>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</si>
  <si>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</si>
  <si>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</si>
  <si>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</si>
  <si>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</si>
  <si>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</si>
  <si>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</si>
  <si>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</si>
  <si>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</si>
  <si>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</si>
  <si>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</si>
  <si>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</si>
  <si>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</si>
  <si>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</si>
  <si>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</si>
  <si>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</si>
  <si>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</si>
  <si>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</si>
  <si>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</si>
  <si>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</si>
  <si>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</si>
  <si>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</si>
  <si>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</si>
  <si>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</si>
  <si>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</si>
  <si>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</si>
  <si>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</si>
  <si>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</si>
  <si>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</si>
  <si>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</si>
  <si>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</si>
  <si>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</si>
  <si>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</si>
  <si>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</si>
  <si>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</si>
  <si>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</si>
  <si>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</si>
  <si>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</si>
  <si>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</si>
  <si>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</si>
  <si>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</si>
  <si>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</si>
  <si>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</si>
  <si>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</si>
  <si>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</si>
  <si>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</si>
  <si>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</si>
  <si>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</si>
  <si>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</si>
  <si>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</si>
  <si>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</si>
  <si>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</si>
  <si>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</si>
  <si>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</si>
  <si>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</si>
  <si>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</si>
  <si>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</si>
  <si>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</si>
  <si>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</si>
  <si>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</si>
  <si>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</si>
  <si>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</si>
  <si>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</si>
  <si>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</si>
  <si>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</si>
  <si>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</si>
  <si>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</si>
  <si>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</si>
  <si>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</si>
  <si>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</si>
  <si>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</si>
  <si>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</si>
  <si>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</si>
  <si>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</si>
  <si>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</si>
  <si>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</si>
  <si>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</si>
  <si>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</si>
  <si>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</si>
  <si>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</si>
  <si>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</si>
  <si>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</si>
  <si>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</si>
  <si>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</si>
  <si>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</si>
  <si>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</si>
  <si>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</si>
  <si>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</si>
  <si>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</si>
  <si>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</si>
  <si>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</si>
  <si>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</si>
  <si>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</si>
  <si>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</si>
  <si>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</si>
  <si>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</si>
  <si>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</si>
  <si>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</si>
  <si>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</si>
  <si>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</si>
  <si>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</si>
  <si>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</si>
  <si>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</si>
  <si>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</si>
  <si>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</si>
  <si>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</si>
  <si>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</si>
  <si>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</si>
  <si>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</si>
  <si>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</si>
  <si>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</si>
  <si>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</si>
  <si>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</si>
  <si>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</si>
  <si>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</si>
  <si>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</si>
  <si>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</si>
  <si>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</si>
  <si>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</si>
  <si>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</si>
  <si>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</si>
  <si>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</si>
  <si>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</si>
  <si>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</si>
  <si>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</si>
  <si>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</si>
  <si>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</si>
  <si>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</si>
  <si>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</si>
  <si>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</si>
  <si>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</si>
  <si>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</si>
  <si>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</si>
  <si>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</si>
  <si>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</si>
  <si>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</si>
  <si>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</si>
  <si>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</si>
  <si>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</si>
  <si>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</si>
  <si>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</si>
  <si>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</si>
  <si>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</si>
  <si>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</si>
  <si>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</si>
  <si>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</si>
  <si>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</si>
  <si>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</si>
  <si>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</si>
  <si>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</si>
  <si>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</si>
  <si>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</si>
  <si>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</si>
  <si>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</si>
  <si>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</si>
  <si>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</si>
  <si>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</si>
  <si>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</si>
  <si>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</si>
  <si>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</si>
  <si>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</si>
  <si>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</si>
  <si>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</si>
  <si>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</si>
  <si>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</si>
  <si>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</si>
  <si>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</si>
  <si>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</si>
  <si>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</si>
  <si>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</si>
  <si>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</si>
  <si>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</si>
  <si>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</si>
  <si>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</si>
  <si>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</si>
  <si>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</si>
  <si>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</si>
  <si>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</si>
  <si>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</si>
  <si>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</si>
  <si>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</si>
  <si>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</si>
  <si>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</si>
  <si>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</si>
  <si>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</si>
  <si>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</si>
  <si>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</si>
  <si>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</si>
  <si>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</si>
  <si>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</si>
  <si>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</si>
  <si>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</si>
  <si>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</si>
  <si>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</si>
  <si>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</si>
  <si>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</si>
  <si>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</si>
  <si>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</si>
  <si>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</si>
  <si>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</si>
  <si>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</si>
  <si>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</si>
  <si>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</si>
  <si>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</si>
  <si>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</si>
  <si>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</si>
  <si>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</si>
  <si>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</si>
  <si>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</si>
  <si>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</si>
  <si>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</si>
  <si>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</si>
  <si>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</si>
  <si>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</si>
  <si>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</si>
  <si>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</si>
  <si>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</si>
  <si>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</si>
  <si>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</si>
  <si>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</si>
  <si>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</si>
  <si>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</si>
  <si>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</si>
  <si>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</si>
  <si>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</si>
  <si>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</si>
  <si>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</si>
  <si>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</si>
  <si>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</si>
  <si>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</si>
  <si>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</si>
  <si>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</si>
  <si>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</si>
  <si>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</si>
  <si>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</si>
  <si>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</si>
  <si>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</si>
  <si>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</si>
  <si>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</si>
  <si>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</si>
  <si>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</si>
  <si>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</si>
  <si>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</si>
  <si>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</si>
  <si>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</si>
  <si>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</si>
  <si>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</si>
  <si>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</si>
  <si>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</si>
  <si>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</si>
  <si>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</si>
  <si>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</si>
  <si>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</si>
  <si>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</si>
  <si>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</si>
  <si>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</si>
  <si>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</si>
  <si>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</si>
  <si>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</si>
  <si>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</si>
  <si>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</si>
  <si>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</si>
  <si>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</si>
  <si>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</si>
  <si>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</si>
  <si>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</si>
  <si>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</si>
  <si>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</si>
  <si>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</si>
  <si>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</si>
  <si>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</si>
  <si>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</si>
  <si>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</si>
  <si>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</si>
  <si>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</si>
  <si>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</si>
  <si>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</si>
  <si>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</si>
  <si>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</si>
  <si>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</si>
  <si>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</si>
  <si>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</si>
  <si>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</si>
  <si>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</si>
  <si>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</si>
  <si>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</si>
  <si>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</si>
  <si>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</si>
  <si>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</si>
  <si>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</si>
  <si>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</si>
  <si>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</si>
  <si>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</si>
  <si>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</si>
  <si>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</si>
  <si>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</si>
  <si>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</si>
  <si>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</si>
  <si>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</si>
  <si>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</si>
  <si>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</si>
  <si>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</si>
  <si>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</si>
  <si>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</si>
  <si>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</si>
  <si>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</si>
  <si>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</si>
  <si>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</si>
  <si>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</si>
  <si>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</si>
  <si>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</si>
  <si>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</si>
  <si>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</si>
  <si>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</si>
  <si>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</si>
  <si>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</si>
  <si>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</si>
  <si>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</si>
  <si>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</si>
  <si>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</si>
  <si>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</si>
  <si>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</si>
  <si>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</si>
  <si>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</si>
  <si>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</si>
  <si>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</si>
  <si>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</si>
  <si>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</si>
  <si>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</si>
  <si>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</si>
  <si>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</si>
  <si>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</si>
  <si>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</si>
  <si>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</si>
  <si>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</si>
  <si>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</si>
  <si>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</si>
  <si>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</si>
  <si>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</si>
  <si>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</si>
  <si>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</si>
  <si>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</si>
  <si>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</si>
  <si>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</si>
  <si>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</si>
  <si>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</si>
  <si>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</si>
  <si>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</si>
  <si>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</si>
  <si>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</si>
  <si>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</si>
  <si>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</si>
  <si>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</si>
  <si>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</si>
  <si>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</si>
  <si>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</si>
  <si>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</si>
  <si>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</si>
  <si>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</si>
  <si>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</si>
  <si>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</si>
  <si>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</si>
  <si>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</si>
  <si>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</si>
  <si>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</si>
  <si>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</si>
  <si>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</si>
  <si>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</si>
  <si>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</si>
  <si>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</si>
  <si>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</si>
  <si>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</si>
  <si>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</si>
  <si>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</si>
  <si>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</si>
  <si>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</si>
  <si>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</si>
  <si>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</si>
  <si>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</si>
  <si>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</si>
  <si>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</si>
  <si>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</si>
  <si>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</si>
  <si>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</si>
  <si>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</si>
  <si>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</si>
  <si>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</si>
  <si>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</si>
  <si>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</si>
  <si>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</si>
  <si>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</si>
  <si>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</si>
  <si>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</si>
  <si>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</si>
  <si>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</si>
  <si>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</si>
  <si>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</si>
  <si>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</si>
  <si>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</si>
  <si>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</si>
  <si>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</si>
  <si>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</si>
  <si>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</si>
  <si>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</si>
  <si>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</si>
  <si>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</si>
  <si>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</si>
  <si>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</si>
  <si>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</si>
  <si>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</si>
  <si>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</si>
  <si>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</si>
  <si>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</si>
  <si>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</si>
  <si>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</si>
  <si>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</si>
  <si>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</si>
  <si>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</si>
  <si>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</si>
  <si>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</si>
  <si>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</si>
  <si>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</si>
  <si>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</si>
  <si>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</si>
  <si>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</si>
  <si>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</si>
  <si>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</si>
  <si>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</si>
  <si>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</si>
  <si>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</si>
  <si>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</si>
  <si>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</si>
  <si>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</si>
  <si>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</si>
  <si>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</si>
  <si>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</si>
  <si>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</si>
  <si>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</si>
  <si>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</si>
  <si>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</si>
  <si>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</si>
  <si>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</si>
  <si>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</si>
  <si>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</si>
  <si>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</si>
  <si>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</si>
  <si>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</si>
  <si>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</si>
  <si>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</si>
  <si>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</si>
  <si>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</si>
  <si>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</si>
  <si>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</si>
  <si>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</si>
  <si>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</si>
  <si>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</si>
  <si>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</si>
  <si>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July 10, 2024 Version</t>
  </si>
  <si>
    <t>Compass for Affordable Housing</t>
  </si>
  <si>
    <t>Spring Street Trolley Station</t>
  </si>
  <si>
    <t>August</t>
  </si>
  <si>
    <t>City of La Mesa</t>
  </si>
  <si>
    <t>Lynette Santos</t>
  </si>
  <si>
    <t>8130 Allison Avenue</t>
  </si>
  <si>
    <t>La Mesa</t>
  </si>
  <si>
    <t>lsantos@cityoflamesa.us</t>
  </si>
  <si>
    <t>4250 Spring Street</t>
  </si>
  <si>
    <t>494-641-34-00, 499-20-08-00, 499-020-18-00, 499-020-40-00</t>
  </si>
  <si>
    <t>13520 Evening Creek Dr. N. Suite 560</t>
  </si>
  <si>
    <t>Robin Martinez</t>
  </si>
  <si>
    <t>(858) 386-7211</t>
  </si>
  <si>
    <t>robin@compassfah.org</t>
  </si>
  <si>
    <t>AHG Spring Street LLC</t>
  </si>
  <si>
    <t>Administrative GP</t>
  </si>
  <si>
    <t>13520 Evening Creek Dr. N. Suite 160</t>
  </si>
  <si>
    <t>CA</t>
  </si>
  <si>
    <t>James Silverwood</t>
  </si>
  <si>
    <t>(858) 679-2828</t>
  </si>
  <si>
    <t>james@affirmedhousing.com</t>
  </si>
  <si>
    <t>Affirmed Housing Group, Inc.</t>
  </si>
  <si>
    <t>CFAH Housing LLC</t>
  </si>
  <si>
    <t>Managing GP</t>
  </si>
  <si>
    <t>(858) 679-2463</t>
  </si>
  <si>
    <t>13520 Evening Creek Dr. N., Suite 160</t>
  </si>
  <si>
    <t>Linsey Carr</t>
  </si>
  <si>
    <t>(858) 842-4219</t>
  </si>
  <si>
    <t>lindsey@affirmedhousing.com</t>
  </si>
  <si>
    <t>Developer</t>
  </si>
  <si>
    <t>858-679-9076</t>
  </si>
  <si>
    <t>13520 Evening Creek Drive N, Suite 160</t>
  </si>
  <si>
    <t>San Diego, CA 92128</t>
  </si>
  <si>
    <t>Jimmy Silverwood</t>
  </si>
  <si>
    <t>(858) 679-9076</t>
  </si>
  <si>
    <t>Dahlin Group</t>
  </si>
  <si>
    <t>501 W Brodaway Suite 1080</t>
  </si>
  <si>
    <t>San Diego, CA 92101</t>
  </si>
  <si>
    <t>Sean Whitacre</t>
  </si>
  <si>
    <t>858-350-0589</t>
  </si>
  <si>
    <t>sean.whitacre@dahlingroup.com</t>
  </si>
  <si>
    <t>2029 Century Park East, Suite 26</t>
  </si>
  <si>
    <t>Los Angeles, CA 90067-3012</t>
  </si>
  <si>
    <t>David Cohen</t>
  </si>
  <si>
    <t>312-902-5284</t>
  </si>
  <si>
    <t>312-902-1061</t>
  </si>
  <si>
    <t>david.Cohen@katten.com</t>
  </si>
  <si>
    <t>TBD</t>
  </si>
  <si>
    <t>Novogradac and Company LLP</t>
  </si>
  <si>
    <t>2033 N. Main Street, Suite 400</t>
  </si>
  <si>
    <t>Walnut Creek, CA 94596</t>
  </si>
  <si>
    <t>Sun-Ae Woo</t>
  </si>
  <si>
    <t>(925) 949-4223</t>
  </si>
  <si>
    <t>sun-ae.woo@novoco.com</t>
  </si>
  <si>
    <t>1887 Q Street</t>
  </si>
  <si>
    <t>Arcate, CA 95521</t>
  </si>
  <si>
    <t>Sean Armstrong</t>
  </si>
  <si>
    <t>(707) 826-1450</t>
  </si>
  <si>
    <t>sean@redwoodenergy.com</t>
  </si>
  <si>
    <t>WNC &amp; Associates</t>
  </si>
  <si>
    <t>17782 Sky Park Circle</t>
  </si>
  <si>
    <t>Irvine, CA 92614</t>
  </si>
  <si>
    <t>Jessica Captanis</t>
  </si>
  <si>
    <t>(949) 439-2616</t>
  </si>
  <si>
    <t>jcaptanis@wncinc.com</t>
  </si>
  <si>
    <t>Laurin Associates</t>
  </si>
  <si>
    <t>1051 Soirts Drive, Suite A</t>
  </si>
  <si>
    <t>Sacramento, CA 95834</t>
  </si>
  <si>
    <t>Stefanie Williams</t>
  </si>
  <si>
    <t>916-372-6100</t>
  </si>
  <si>
    <t>916-419-6108</t>
  </si>
  <si>
    <t>swilliams@laurinassociates.com</t>
  </si>
  <si>
    <t>11044 Research Boulevard</t>
  </si>
  <si>
    <t>Austin, TX 78759</t>
  </si>
  <si>
    <t>Lindsey Hannon</t>
  </si>
  <si>
    <t>(562) 349-3212</t>
  </si>
  <si>
    <t>lindsey.hannon@novoco.com</t>
  </si>
  <si>
    <t>CMFA</t>
  </si>
  <si>
    <t>2111 Palomar Airport Road, Suite 320</t>
  </si>
  <si>
    <t>Carlsbad, CA 92011</t>
  </si>
  <si>
    <t>Anthony Stubbs</t>
  </si>
  <si>
    <t>760-930-1333</t>
  </si>
  <si>
    <t>760-683-3390</t>
  </si>
  <si>
    <t>astubbs@cmfa-ca.com</t>
  </si>
  <si>
    <t>CONAM Management Corporation</t>
  </si>
  <si>
    <t>3990 Ruffin Rd., Suite 100</t>
  </si>
  <si>
    <t>San Diego, CA 92123-1826</t>
  </si>
  <si>
    <t>Michelle Sites</t>
  </si>
  <si>
    <t>(858) 614-7376</t>
  </si>
  <si>
    <t>(858) 614-7576</t>
  </si>
  <si>
    <t>msites@conam.com</t>
  </si>
  <si>
    <t>Inner City Infill Site</t>
  </si>
  <si>
    <t>Suburban Residential and Multiple Unit/Scenic Preservation Overlay/Urban Design Overlay</t>
  </si>
  <si>
    <t>R1S AND R3-P-D</t>
  </si>
  <si>
    <t>147 DU</t>
  </si>
  <si>
    <t>68'</t>
  </si>
  <si>
    <t>Community building is included in the residential building</t>
  </si>
  <si>
    <t>Executive Director</t>
  </si>
  <si>
    <t>Other: Solar</t>
  </si>
  <si>
    <t>Other:Interest Prior to Conversion</t>
  </si>
  <si>
    <t>Other: Partnership and Transaction</t>
  </si>
  <si>
    <t>Other: MTS Agency Deposit</t>
  </si>
  <si>
    <t>Other: Lease up costs</t>
  </si>
  <si>
    <t>Other:Taxable Construction Loan interest, Construction service fee and Construction management</t>
  </si>
  <si>
    <t>Other: Initial monitoring fee</t>
  </si>
  <si>
    <t>Variable</t>
  </si>
  <si>
    <t>HCD Super NOFA (IIG)</t>
  </si>
  <si>
    <t>Tax Credit Equity (Fed + State)</t>
  </si>
  <si>
    <t>Veterans</t>
  </si>
  <si>
    <t>General Office Costs</t>
  </si>
  <si>
    <t>Payroll Burden/Taxes</t>
  </si>
  <si>
    <t>Cleaning &amp; Building Supplies</t>
  </si>
  <si>
    <t>Other (Specify):Misc state &amp; Local fees, issuer fee</t>
  </si>
  <si>
    <t>Fixed</t>
  </si>
  <si>
    <t>County of San Diego HOME</t>
  </si>
  <si>
    <t>858-679-2828</t>
  </si>
  <si>
    <t>Permanent Loan</t>
  </si>
  <si>
    <t>Soft Loan</t>
  </si>
  <si>
    <t>(specify here) CUAC</t>
  </si>
  <si>
    <t>HCD IIG</t>
  </si>
  <si>
    <t>County of San Diego</t>
  </si>
  <si>
    <t>Project-based vouchers (PBVs)</t>
  </si>
  <si>
    <t>742 Fletcher Pkwy</t>
  </si>
  <si>
    <t>El Cajon, CA 92020</t>
  </si>
  <si>
    <t>Waheed Karim</t>
  </si>
  <si>
    <t>(619) 518-2610</t>
  </si>
  <si>
    <t>Construction Loan</t>
  </si>
  <si>
    <t>SOFR</t>
  </si>
  <si>
    <t>Equity</t>
  </si>
  <si>
    <t>2020 W. El Camino Avenue, Ste 670</t>
  </si>
  <si>
    <t>Sacramento, CA 94252-2054</t>
  </si>
  <si>
    <t>Ashley Foster</t>
  </si>
  <si>
    <t>(916) 906-5663</t>
  </si>
  <si>
    <t>3989 Ruffin Road</t>
  </si>
  <si>
    <t>San Diego, CA 92123</t>
  </si>
  <si>
    <t>Felipe Murillo</t>
  </si>
  <si>
    <t>(858) 467-9713</t>
  </si>
  <si>
    <t>Residual Receipts Loan</t>
  </si>
  <si>
    <t xml:space="preserve">(619) 518-2610					</t>
  </si>
  <si>
    <t>858-467-9713</t>
  </si>
  <si>
    <t>2020 W. El Cajon Ave. Suite 670</t>
  </si>
  <si>
    <t>Sacramento, CA 94252</t>
  </si>
  <si>
    <t>916-906-5663</t>
  </si>
  <si>
    <t>AHG Spring Street, LLC</t>
  </si>
  <si>
    <t>County of San Diego IHTF</t>
  </si>
  <si>
    <t>1 bedroom</t>
  </si>
  <si>
    <t>2 bedroom</t>
  </si>
  <si>
    <t>3 bedroom</t>
  </si>
  <si>
    <t>Redwood Energy</t>
  </si>
  <si>
    <t>See 15 year proforma</t>
  </si>
  <si>
    <t>San Diego Metropolitan Transit Development Board</t>
  </si>
  <si>
    <t>Secured by Leasehold Interest</t>
  </si>
  <si>
    <t>Project has a legal requirement for payment of federal or state prevailing wage on the entire project</t>
  </si>
  <si>
    <t>Public funding source(s) requiring prevailing wage:</t>
  </si>
  <si>
    <t>619-667-1195</t>
  </si>
  <si>
    <t>619-667-1380</t>
  </si>
  <si>
    <t>Katten Muchin Rosenman, LLP.</t>
  </si>
  <si>
    <t>Tax- Exempt Construction Loan - Banner Bank</t>
  </si>
  <si>
    <t>Taxable Construction loan - Banner Bank</t>
  </si>
  <si>
    <t>Perm Loan - Banner Bank</t>
  </si>
  <si>
    <t>40%/60% Average Income</t>
  </si>
  <si>
    <t>CUAC</t>
  </si>
  <si>
    <t>Provided</t>
  </si>
  <si>
    <t>Not Applicable</t>
  </si>
  <si>
    <t>Above residual receipts line for cash flow</t>
  </si>
  <si>
    <t>Ground Lease Payment (5% of Cash Flow)</t>
  </si>
  <si>
    <t xml:space="preserve">County of San Diego Health and Human Services, Housing and Development Services.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</si>
</sst>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17170">
    <xf numFmtId="0" fontId="0" fillId="0" borderId="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6" borderId="0" applyNumberFormat="0" applyBorder="0" applyAlignment="0" applyProtection="0"/>
    <xf numFmtId="0" fontId="84" fillId="26" borderId="0" applyNumberFormat="0" applyBorder="0" applyAlignment="0" applyProtection="0"/>
    <xf numFmtId="0" fontId="84" fillId="27" borderId="0" applyNumberFormat="0" applyBorder="0" applyAlignment="0" applyProtection="0"/>
    <xf numFmtId="0" fontId="84" fillId="28" borderId="0" applyNumberFormat="0" applyBorder="0" applyAlignment="0" applyProtection="0"/>
    <xf numFmtId="0" fontId="84" fillId="28" borderId="0" applyNumberFormat="0" applyBorder="0" applyAlignment="0" applyProtection="0"/>
    <xf numFmtId="0" fontId="84" fillId="29" borderId="0" applyNumberFormat="0" applyBorder="0" applyAlignment="0" applyProtection="0"/>
    <xf numFmtId="0" fontId="84" fillId="29"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1" borderId="0" applyNumberFormat="0" applyBorder="0" applyAlignment="0" applyProtection="0"/>
    <xf numFmtId="0" fontId="84" fillId="31" borderId="0" applyNumberFormat="0" applyBorder="0" applyAlignment="0" applyProtection="0"/>
    <xf numFmtId="0" fontId="84" fillId="32" borderId="0" applyNumberFormat="0" applyBorder="0" applyAlignment="0" applyProtection="0"/>
    <xf numFmtId="0" fontId="84" fillId="32" borderId="0" applyNumberFormat="0" applyBorder="0" applyAlignment="0" applyProtection="0"/>
    <xf numFmtId="0" fontId="84" fillId="33" borderId="0" applyNumberFormat="0" applyBorder="0" applyAlignment="0" applyProtection="0"/>
    <xf numFmtId="0" fontId="84"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6" fillId="36" borderId="18" applyNumberFormat="0" applyAlignment="0" applyProtection="0"/>
    <xf numFmtId="0" fontId="86" fillId="36" borderId="18" applyNumberFormat="0" applyAlignment="0" applyProtection="0"/>
    <xf numFmtId="0" fontId="87" fillId="37" borderId="19" applyNumberFormat="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75"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59" fillId="0" borderId="0" applyFont="0" applyFill="0" applyBorder="0" applyAlignment="0" applyProtection="0"/>
    <xf numFmtId="43" fontId="23" fillId="0" borderId="0" applyFont="0" applyFill="0" applyBorder="0" applyAlignment="0" applyProtection="0"/>
    <xf numFmtId="43" fontId="59" fillId="0" borderId="0" applyFont="0" applyFill="0" applyBorder="0" applyAlignment="0" applyProtection="0"/>
    <xf numFmtId="44" fontId="76"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xf numFmtId="44" fontId="76" fillId="0" borderId="0" applyFont="0" applyFill="0" applyBorder="0" applyAlignment="0" applyProtection="0"/>
    <xf numFmtId="44" fontId="23" fillId="0" borderId="0" applyFont="0" applyFill="0" applyBorder="0" applyAlignment="0" applyProtection="0"/>
    <xf numFmtId="44" fontId="78"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alignment vertical="top"/>
    </xf>
    <xf numFmtId="44" fontId="59" fillId="0" borderId="0" applyFont="0" applyFill="0" applyBorder="0" applyAlignment="0" applyProtection="0">
      <alignment vertical="top"/>
    </xf>
    <xf numFmtId="44" fontId="23" fillId="0" borderId="0" applyFont="0" applyFill="0" applyBorder="0" applyAlignment="0" applyProtection="0"/>
    <xf numFmtId="44" fontId="59" fillId="0" borderId="0" applyFont="0" applyFill="0" applyBorder="0" applyAlignment="0" applyProtection="0">
      <alignment vertical="top"/>
    </xf>
    <xf numFmtId="44" fontId="59" fillId="0" borderId="0" applyFont="0" applyFill="0" applyBorder="0" applyAlignment="0" applyProtection="0"/>
    <xf numFmtId="44" fontId="75"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59" fillId="0" borderId="0" applyFont="0" applyFill="0" applyBorder="0" applyAlignment="0" applyProtection="0"/>
    <xf numFmtId="44" fontId="6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xf numFmtId="44" fontId="23" fillId="0" borderId="0" applyFont="0" applyFill="0" applyBorder="0" applyAlignment="0" applyProtection="0"/>
    <xf numFmtId="44" fontId="69" fillId="0" borderId="0" applyFont="0" applyFill="0" applyBorder="0" applyAlignment="0" applyProtection="0"/>
    <xf numFmtId="44" fontId="23" fillId="0" borderId="0" applyFont="0" applyFill="0" applyBorder="0" applyAlignment="0" applyProtection="0"/>
    <xf numFmtId="44" fontId="75"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2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75"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2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xf numFmtId="44" fontId="23" fillId="0" borderId="0" applyFont="0" applyFill="0" applyBorder="0" applyAlignment="0" applyProtection="0"/>
    <xf numFmtId="44" fontId="7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4" fillId="0" borderId="0" applyFont="0" applyFill="0" applyBorder="0" applyAlignment="0" applyProtection="0"/>
    <xf numFmtId="44" fontId="23" fillId="0" borderId="0" applyFont="0" applyFill="0" applyBorder="0" applyAlignment="0" applyProtection="0"/>
    <xf numFmtId="0" fontId="88" fillId="0" borderId="0" applyNumberFormat="0" applyFill="0" applyBorder="0" applyAlignment="0" applyProtection="0"/>
    <xf numFmtId="0" fontId="89" fillId="38" borderId="0" applyNumberFormat="0" applyBorder="0" applyAlignment="0" applyProtection="0"/>
    <xf numFmtId="0" fontId="90" fillId="0" borderId="20" applyNumberFormat="0" applyFill="0" applyAlignment="0" applyProtection="0"/>
    <xf numFmtId="0" fontId="90" fillId="0" borderId="20" applyNumberFormat="0" applyFill="0" applyAlignment="0" applyProtection="0"/>
    <xf numFmtId="0" fontId="91" fillId="0" borderId="21" applyNumberFormat="0" applyFill="0" applyAlignment="0" applyProtection="0"/>
    <xf numFmtId="0" fontId="91" fillId="0" borderId="21" applyNumberFormat="0" applyFill="0" applyAlignment="0" applyProtection="0"/>
    <xf numFmtId="0" fontId="92" fillId="0" borderId="22" applyNumberFormat="0" applyFill="0" applyAlignment="0" applyProtection="0"/>
    <xf numFmtId="0" fontId="92" fillId="0" borderId="22" applyNumberFormat="0" applyFill="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0" fillId="0" borderId="0" applyNumberFormat="0" applyFill="0" applyBorder="0" applyAlignment="0" applyProtection="0">
      <alignment vertical="top"/>
      <protection locked="0"/>
    </xf>
    <xf numFmtId="0" fontId="93" fillId="39" borderId="18" applyNumberFormat="0" applyAlignment="0" applyProtection="0"/>
    <xf numFmtId="0" fontId="16" fillId="0" borderId="0" applyNumberFormat="0" applyBorder="0"/>
    <xf numFmtId="0" fontId="17" fillId="0" borderId="0" applyBorder="0" applyAlignment="0"/>
    <xf numFmtId="0" fontId="18" fillId="0" borderId="0" applyFill="0" applyBorder="0" applyAlignment="0"/>
    <xf numFmtId="0" fontId="94" fillId="0" borderId="23" applyNumberFormat="0" applyFill="0" applyAlignment="0" applyProtection="0"/>
    <xf numFmtId="0" fontId="95" fillId="40" borderId="0" applyNumberFormat="0" applyBorder="0" applyAlignment="0" applyProtection="0"/>
    <xf numFmtId="0" fontId="96" fillId="0" borderId="0"/>
    <xf numFmtId="0" fontId="59" fillId="0" borderId="0"/>
    <xf numFmtId="0" fontId="96" fillId="0" borderId="0"/>
    <xf numFmtId="0" fontId="59" fillId="0" borderId="0"/>
    <xf numFmtId="0" fontId="59"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97" fillId="0" borderId="0"/>
    <xf numFmtId="0" fontId="59" fillId="0" borderId="0"/>
    <xf numFmtId="169" fontId="60" fillId="0" borderId="0"/>
    <xf numFmtId="0" fontId="83" fillId="0" borderId="0"/>
    <xf numFmtId="0" fontId="23" fillId="0" borderId="0"/>
    <xf numFmtId="0" fontId="23" fillId="0" borderId="0"/>
    <xf numFmtId="0" fontId="65" fillId="0" borderId="0"/>
    <xf numFmtId="0" fontId="59" fillId="0" borderId="0"/>
    <xf numFmtId="0" fontId="65" fillId="0" borderId="0"/>
    <xf numFmtId="0" fontId="59" fillId="0" borderId="0"/>
    <xf numFmtId="0" fontId="71" fillId="0" borderId="0"/>
    <xf numFmtId="0" fontId="59" fillId="0" borderId="0"/>
    <xf numFmtId="0" fontId="83" fillId="0" borderId="0"/>
    <xf numFmtId="0" fontId="59" fillId="0" borderId="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71" fillId="0" borderId="0"/>
    <xf numFmtId="0" fontId="83" fillId="0" borderId="0"/>
    <xf numFmtId="0" fontId="83" fillId="0" borderId="0"/>
    <xf numFmtId="0" fontId="83" fillId="0" borderId="0"/>
    <xf numFmtId="0" fontId="83" fillId="0" borderId="0"/>
    <xf numFmtId="0" fontId="59" fillId="0" borderId="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59" fillId="0" borderId="0"/>
    <xf numFmtId="0" fontId="83" fillId="0" borderId="0"/>
    <xf numFmtId="0" fontId="83" fillId="0" borderId="0"/>
    <xf numFmtId="0" fontId="83" fillId="0" borderId="0"/>
    <xf numFmtId="0" fontId="83" fillId="0" borderId="0"/>
    <xf numFmtId="0" fontId="71" fillId="0" borderId="0"/>
    <xf numFmtId="0" fontId="59" fillId="0" borderId="0">
      <alignment vertical="top"/>
    </xf>
    <xf numFmtId="0" fontId="83" fillId="0" borderId="0"/>
    <xf numFmtId="0" fontId="83" fillId="0" borderId="0"/>
    <xf numFmtId="0" fontId="83" fillId="0" borderId="0"/>
    <xf numFmtId="0" fontId="83" fillId="0" borderId="0"/>
    <xf numFmtId="0" fontId="71" fillId="0" borderId="0"/>
    <xf numFmtId="0" fontId="23" fillId="0" borderId="0"/>
    <xf numFmtId="0" fontId="83" fillId="0" borderId="0"/>
    <xf numFmtId="0" fontId="23" fillId="0" borderId="0"/>
    <xf numFmtId="0" fontId="83" fillId="0" borderId="0"/>
    <xf numFmtId="0" fontId="83" fillId="0" borderId="0"/>
    <xf numFmtId="0" fontId="83" fillId="0" borderId="0"/>
    <xf numFmtId="0" fontId="83" fillId="0" borderId="0"/>
    <xf numFmtId="0" fontId="65" fillId="0" borderId="0"/>
    <xf numFmtId="0" fontId="59" fillId="0" borderId="0">
      <alignment vertical="top"/>
    </xf>
    <xf numFmtId="0" fontId="65" fillId="0" borderId="0"/>
    <xf numFmtId="0" fontId="59" fillId="0" borderId="0">
      <alignment vertical="top"/>
    </xf>
    <xf numFmtId="0" fontId="59" fillId="0" borderId="0">
      <alignment vertical="top"/>
    </xf>
    <xf numFmtId="0" fontId="83" fillId="0" borderId="0"/>
    <xf numFmtId="0" fontId="65" fillId="0" borderId="0"/>
    <xf numFmtId="0" fontId="83" fillId="0" borderId="0"/>
    <xf numFmtId="0" fontId="59" fillId="0" borderId="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5"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59" fillId="0" borderId="0">
      <alignment vertical="top"/>
    </xf>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5"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59" fillId="0" borderId="0"/>
    <xf numFmtId="0" fontId="59" fillId="0" borderId="0">
      <alignment vertical="top"/>
    </xf>
    <xf numFmtId="0" fontId="59" fillId="0" borderId="0">
      <alignment vertical="top"/>
    </xf>
    <xf numFmtId="0" fontId="59" fillId="0" borderId="0"/>
    <xf numFmtId="0" fontId="59" fillId="0" borderId="0">
      <alignment vertical="top"/>
    </xf>
    <xf numFmtId="0" fontId="59" fillId="0" borderId="0"/>
    <xf numFmtId="0" fontId="59"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14" fillId="0" borderId="0" applyProtection="0">
      <protection locked="0"/>
    </xf>
    <xf numFmtId="0" fontId="23" fillId="0" borderId="0" applyProtection="0">
      <protection locked="0"/>
    </xf>
    <xf numFmtId="0" fontId="23" fillId="0" borderId="0" applyProtection="0">
      <protection locked="0"/>
    </xf>
    <xf numFmtId="0" fontId="60" fillId="0" borderId="0"/>
    <xf numFmtId="0" fontId="14" fillId="0" borderId="0"/>
    <xf numFmtId="0" fontId="75"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75"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98" fillId="36" borderId="25" applyNumberFormat="0" applyAlignment="0" applyProtection="0"/>
    <xf numFmtId="0" fontId="98" fillId="36" borderId="25" applyNumberFormat="0" applyAlignment="0" applyProtection="0"/>
    <xf numFmtId="0" fontId="19" fillId="0" borderId="0" applyNumberFormat="0" applyFill="0" applyBorder="0">
      <alignment horizontal="left"/>
    </xf>
    <xf numFmtId="0" fontId="99" fillId="0" borderId="0" applyNumberFormat="0" applyFill="0" applyBorder="0" applyAlignment="0" applyProtection="0"/>
    <xf numFmtId="0" fontId="100" fillId="0" borderId="26" applyNumberFormat="0" applyFill="0" applyAlignment="0" applyProtection="0"/>
    <xf numFmtId="0" fontId="100" fillId="0" borderId="26" applyNumberFormat="0" applyFill="0" applyAlignment="0" applyProtection="0"/>
    <xf numFmtId="0" fontId="101" fillId="0" borderId="0" applyNumberFormat="0" applyFill="0" applyBorder="0" applyAlignment="0" applyProtection="0"/>
    <xf numFmtId="0" fontId="14" fillId="0" borderId="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9" fontId="14" fillId="0" borderId="0" applyFont="0" applyFill="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6"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4"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08"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109" fillId="0" borderId="0" applyNumberForma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9" fillId="0" borderId="0" applyNumberFormat="0" applyFill="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44" fontId="14" fillId="0" borderId="0" applyFont="0" applyFill="0" applyBorder="0" applyAlignment="0" applyProtection="0"/>
    <xf numFmtId="9" fontId="118" fillId="0" borderId="0" applyFont="0" applyFill="0" applyBorder="0" applyAlignment="0" applyProtection="0"/>
    <xf numFmtId="0" fontId="118" fillId="0" borderId="0"/>
    <xf numFmtId="0" fontId="8" fillId="0" borderId="0"/>
    <xf numFmtId="0" fontId="14" fillId="0" borderId="0"/>
    <xf numFmtId="43" fontId="8" fillId="0" borderId="0" applyFont="0" applyFill="0" applyBorder="0" applyAlignment="0" applyProtection="0"/>
    <xf numFmtId="9" fontId="8"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14" fillId="0" borderId="0" applyBorder="0"/>
    <xf numFmtId="43" fontId="156" fillId="0" borderId="0" applyFont="0" applyFill="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44" fontId="16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4"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2">
    <xf numFmtId="0" fontId="0" fillId="0" borderId="0" xfId="0"/>
    <xf numFmtId="0" fontId="0" fillId="0" borderId="0" xfId="0" applyAlignment="1">
      <alignment horizontal="center"/>
    </xf>
    <xf numFmtId="0" fontId="21" fillId="0" borderId="0" xfId="0" applyFont="1"/>
    <xf numFmtId="0" fontId="14" fillId="0" borderId="0" xfId="0" applyFont="1"/>
    <xf numFmtId="0" fontId="23" fillId="0" borderId="0" xfId="0" applyFont="1"/>
    <xf numFmtId="0" fontId="0" fillId="0" borderId="4" xfId="0" applyBorder="1"/>
    <xf numFmtId="0" fontId="23" fillId="0" borderId="0" xfId="0" applyFont="1" applyAlignment="1">
      <alignment horizontal="center"/>
    </xf>
    <xf numFmtId="0" fontId="14"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1" fillId="0" borderId="4" xfId="0" applyFont="1" applyBorder="1"/>
    <xf numFmtId="164" fontId="0" fillId="0" borderId="0" xfId="0" applyNumberFormat="1" applyAlignment="1">
      <alignment horizontal="right"/>
    </xf>
    <xf numFmtId="0" fontId="21" fillId="0" borderId="0" xfId="0" applyFont="1" applyAlignment="1">
      <alignment horizontal="center"/>
    </xf>
    <xf numFmtId="0" fontId="14" fillId="0" borderId="0" xfId="543"/>
    <xf numFmtId="0" fontId="23" fillId="0" borderId="0" xfId="0" applyFont="1" applyAlignment="1">
      <alignment horizontal="left" vertical="top" wrapText="1"/>
    </xf>
    <xf numFmtId="0" fontId="29" fillId="0" borderId="0" xfId="0" applyFont="1"/>
    <xf numFmtId="0" fontId="22" fillId="0" borderId="0" xfId="0" applyFont="1" applyAlignment="1">
      <alignment vertical="top"/>
    </xf>
    <xf numFmtId="0" fontId="22" fillId="0" borderId="0" xfId="0" applyFont="1" applyAlignment="1">
      <alignment vertical="top" wrapText="1"/>
    </xf>
    <xf numFmtId="0" fontId="23" fillId="0" borderId="0" xfId="0" applyFont="1" applyAlignment="1">
      <alignment horizontal="left" indent="4"/>
    </xf>
    <xf numFmtId="0" fontId="22" fillId="0" borderId="0" xfId="0" applyFont="1" applyAlignment="1">
      <alignment horizontal="left" vertical="top"/>
    </xf>
    <xf numFmtId="0" fontId="22" fillId="0" borderId="0" xfId="0" applyFont="1" applyAlignment="1">
      <alignment horizontal="left"/>
    </xf>
    <xf numFmtId="0" fontId="22" fillId="0" borderId="0" xfId="0" applyFont="1"/>
    <xf numFmtId="0" fontId="34" fillId="0" borderId="0" xfId="543" applyFont="1"/>
    <xf numFmtId="1" fontId="22" fillId="0" borderId="0" xfId="0" applyNumberFormat="1" applyFont="1" applyAlignment="1">
      <alignment horizontal="left"/>
    </xf>
    <xf numFmtId="0" fontId="24" fillId="0" borderId="0" xfId="0" applyFont="1"/>
    <xf numFmtId="1" fontId="22" fillId="0" borderId="0" xfId="0" applyNumberFormat="1" applyFont="1" applyAlignment="1">
      <alignment horizontal="right"/>
    </xf>
    <xf numFmtId="0" fontId="0" fillId="0" borderId="0" xfId="0" applyAlignment="1">
      <alignment horizontal="right"/>
    </xf>
    <xf numFmtId="0" fontId="33" fillId="0" borderId="0" xfId="0" applyFont="1"/>
    <xf numFmtId="0" fontId="26" fillId="0" borderId="0" xfId="0" applyFont="1"/>
    <xf numFmtId="172" fontId="14" fillId="0" borderId="0" xfId="543" applyNumberFormat="1"/>
    <xf numFmtId="9" fontId="14" fillId="0" borderId="0" xfId="543" applyNumberFormat="1" applyAlignment="1">
      <alignment horizontal="left"/>
    </xf>
    <xf numFmtId="168" fontId="14" fillId="0" borderId="0" xfId="543" applyNumberFormat="1"/>
    <xf numFmtId="0" fontId="23" fillId="0" borderId="0" xfId="0" applyFont="1" applyAlignment="1">
      <alignment horizontal="right"/>
    </xf>
    <xf numFmtId="0" fontId="37" fillId="0" borderId="0" xfId="0" applyFont="1"/>
    <xf numFmtId="0" fontId="23" fillId="0" borderId="0" xfId="0" applyFont="1" applyAlignment="1">
      <alignment horizontal="left"/>
    </xf>
    <xf numFmtId="0" fontId="25" fillId="0" borderId="0" xfId="0" applyFont="1"/>
    <xf numFmtId="0" fontId="27" fillId="0" borderId="0" xfId="0" applyFont="1"/>
    <xf numFmtId="0" fontId="21"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1" fillId="0" borderId="1" xfId="0" applyFont="1" applyBorder="1" applyAlignment="1">
      <alignment horizontal="center" wrapText="1"/>
    </xf>
    <xf numFmtId="0" fontId="21"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1" fillId="0" borderId="4" xfId="0" applyFont="1" applyBorder="1" applyAlignment="1">
      <alignment horizontal="center"/>
    </xf>
    <xf numFmtId="0" fontId="30" fillId="0" borderId="3" xfId="0" applyFont="1" applyBorder="1" applyAlignment="1">
      <alignment horizontal="left"/>
    </xf>
    <xf numFmtId="0" fontId="30" fillId="0" borderId="9" xfId="0" applyFont="1" applyBorder="1" applyAlignment="1">
      <alignment horizontal="left"/>
    </xf>
    <xf numFmtId="0" fontId="21" fillId="0" borderId="4" xfId="0" applyFont="1" applyBorder="1" applyAlignment="1">
      <alignment horizontal="right"/>
    </xf>
    <xf numFmtId="0" fontId="21" fillId="0" borderId="5" xfId="0" applyFont="1" applyBorder="1" applyAlignment="1">
      <alignment horizontal="right"/>
    </xf>
    <xf numFmtId="0" fontId="30" fillId="0" borderId="0" xfId="0" applyFont="1" applyAlignment="1">
      <alignment horizontal="left"/>
    </xf>
    <xf numFmtId="0" fontId="21" fillId="0" borderId="0" xfId="0" applyFont="1" applyAlignment="1">
      <alignment horizontal="right"/>
    </xf>
    <xf numFmtId="0" fontId="21"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3" fillId="0" borderId="11" xfId="0" applyFont="1" applyBorder="1" applyAlignment="1">
      <alignment horizontal="left"/>
    </xf>
    <xf numFmtId="0" fontId="21" fillId="0" borderId="9" xfId="0" applyFont="1" applyBorder="1"/>
    <xf numFmtId="164" fontId="0" fillId="0" borderId="0" xfId="0" applyNumberFormat="1" applyAlignment="1">
      <alignment horizontal="center"/>
    </xf>
    <xf numFmtId="0" fontId="0" fillId="0" borderId="12" xfId="0" applyBorder="1"/>
    <xf numFmtId="0" fontId="23" fillId="0" borderId="3" xfId="0" applyFont="1" applyBorder="1"/>
    <xf numFmtId="0" fontId="23" fillId="0" borderId="0" xfId="543" applyFont="1"/>
    <xf numFmtId="0" fontId="39" fillId="0" borderId="0" xfId="543" applyFont="1"/>
    <xf numFmtId="49" fontId="14" fillId="0" borderId="0" xfId="543" applyNumberFormat="1"/>
    <xf numFmtId="0" fontId="37" fillId="0" borderId="0" xfId="543" applyFont="1"/>
    <xf numFmtId="168" fontId="34" fillId="0" borderId="6" xfId="543" applyNumberFormat="1" applyFont="1" applyBorder="1" applyAlignment="1">
      <alignment horizontal="left"/>
    </xf>
    <xf numFmtId="168" fontId="34" fillId="0" borderId="6" xfId="543" applyNumberFormat="1" applyFont="1" applyBorder="1" applyAlignment="1">
      <alignment horizontal="center"/>
    </xf>
    <xf numFmtId="0" fontId="14" fillId="0" borderId="8" xfId="543" applyBorder="1"/>
    <xf numFmtId="0" fontId="34" fillId="0" borderId="0" xfId="543" applyFont="1" applyAlignment="1">
      <alignment horizontal="center"/>
    </xf>
    <xf numFmtId="0" fontId="33" fillId="0" borderId="9" xfId="543" applyFont="1" applyBorder="1" applyAlignment="1">
      <alignment horizontal="left" vertical="top" wrapText="1"/>
    </xf>
    <xf numFmtId="0" fontId="33" fillId="0" borderId="6" xfId="543" applyFont="1" applyBorder="1" applyAlignment="1">
      <alignment horizontal="center" vertical="top" wrapText="1"/>
    </xf>
    <xf numFmtId="0" fontId="14" fillId="0" borderId="9" xfId="543" applyBorder="1"/>
    <xf numFmtId="0" fontId="14" fillId="0" borderId="10" xfId="543" applyBorder="1"/>
    <xf numFmtId="0" fontId="14" fillId="0" borderId="1" xfId="543" applyBorder="1"/>
    <xf numFmtId="0" fontId="34" fillId="0" borderId="2" xfId="543" applyFont="1" applyBorder="1" applyAlignment="1">
      <alignment horizontal="center"/>
    </xf>
    <xf numFmtId="0" fontId="36" fillId="0" borderId="8" xfId="543" applyFont="1" applyBorder="1" applyAlignment="1">
      <alignment horizontal="left" vertical="top" wrapText="1"/>
    </xf>
    <xf numFmtId="0" fontId="33" fillId="0" borderId="0" xfId="543" applyFont="1" applyAlignment="1">
      <alignment horizontal="center" vertical="top" wrapText="1"/>
    </xf>
    <xf numFmtId="0" fontId="14" fillId="0" borderId="12" xfId="543" applyBorder="1"/>
    <xf numFmtId="0" fontId="36" fillId="0" borderId="0" xfId="543" applyFont="1" applyAlignment="1">
      <alignment horizontal="center" vertical="top" wrapText="1"/>
    </xf>
    <xf numFmtId="0" fontId="36" fillId="0" borderId="9" xfId="543" applyFont="1" applyBorder="1" applyAlignment="1">
      <alignment horizontal="left" vertical="top" wrapText="1"/>
    </xf>
    <xf numFmtId="0" fontId="14" fillId="0" borderId="2" xfId="543" applyBorder="1"/>
    <xf numFmtId="0" fontId="14" fillId="0" borderId="7" xfId="543" applyBorder="1"/>
    <xf numFmtId="0" fontId="33" fillId="0" borderId="0" xfId="543" applyFont="1"/>
    <xf numFmtId="0" fontId="14" fillId="0" borderId="0" xfId="543" applyAlignment="1">
      <alignment horizontal="center"/>
    </xf>
    <xf numFmtId="0" fontId="22" fillId="0" borderId="6" xfId="543" applyFont="1" applyBorder="1" applyAlignment="1">
      <alignment vertical="top" wrapText="1"/>
    </xf>
    <xf numFmtId="0" fontId="23" fillId="0" borderId="0" xfId="0" applyFont="1" applyAlignment="1">
      <alignment horizontal="left" vertical="top"/>
    </xf>
    <xf numFmtId="0" fontId="0" fillId="2" borderId="2" xfId="0" applyFill="1" applyBorder="1"/>
    <xf numFmtId="0" fontId="0" fillId="2" borderId="7" xfId="0" applyFill="1" applyBorder="1"/>
    <xf numFmtId="0" fontId="21" fillId="0" borderId="6" xfId="0" applyFont="1" applyBorder="1" applyAlignment="1">
      <alignment horizontal="right"/>
    </xf>
    <xf numFmtId="0" fontId="20" fillId="0" borderId="0" xfId="0" applyFont="1" applyAlignment="1">
      <alignment horizontal="center" vertical="center"/>
    </xf>
    <xf numFmtId="0" fontId="21" fillId="0" borderId="0" xfId="0" applyFont="1" applyAlignment="1">
      <alignment vertical="top"/>
    </xf>
    <xf numFmtId="166" fontId="0" fillId="0" borderId="0" xfId="0" applyNumberFormat="1" applyAlignment="1">
      <alignment horizontal="right"/>
    </xf>
    <xf numFmtId="0" fontId="44" fillId="0" borderId="0" xfId="0" applyFont="1"/>
    <xf numFmtId="0" fontId="31" fillId="0" borderId="0" xfId="0" applyFont="1"/>
    <xf numFmtId="0" fontId="15" fillId="0" borderId="0" xfId="244" applyBorder="1" applyProtection="1"/>
    <xf numFmtId="0" fontId="15" fillId="0" borderId="0" xfId="244" applyFill="1" applyBorder="1" applyAlignment="1">
      <alignment horizontal="center" vertical="center"/>
    </xf>
    <xf numFmtId="0" fontId="14" fillId="0" borderId="3" xfId="543" applyBorder="1"/>
    <xf numFmtId="0" fontId="36" fillId="0" borderId="4" xfId="543" applyFont="1" applyBorder="1" applyAlignment="1">
      <alignment horizontal="right" vertical="top" wrapText="1"/>
    </xf>
    <xf numFmtId="0" fontId="23" fillId="0" borderId="6" xfId="0" applyFont="1" applyBorder="1"/>
    <xf numFmtId="0" fontId="23" fillId="0" borderId="2" xfId="0" applyFont="1" applyBorder="1"/>
    <xf numFmtId="0" fontId="23" fillId="0" borderId="7" xfId="0" applyFont="1" applyBorder="1"/>
    <xf numFmtId="0" fontId="23" fillId="0" borderId="12" xfId="0" applyFont="1" applyBorder="1"/>
    <xf numFmtId="0" fontId="23" fillId="0" borderId="9" xfId="0" applyFont="1" applyBorder="1"/>
    <xf numFmtId="0" fontId="23" fillId="0" borderId="10" xfId="0" applyFont="1" applyBorder="1"/>
    <xf numFmtId="0" fontId="28" fillId="0" borderId="6" xfId="0" applyFont="1" applyBorder="1" applyAlignment="1">
      <alignment vertical="top" wrapText="1"/>
    </xf>
    <xf numFmtId="0" fontId="28" fillId="0" borderId="5" xfId="0" applyFont="1" applyBorder="1" applyAlignment="1">
      <alignment vertical="top" wrapText="1"/>
    </xf>
    <xf numFmtId="0" fontId="28" fillId="0" borderId="4" xfId="0" applyFont="1" applyBorder="1" applyAlignment="1">
      <alignment vertical="top" wrapText="1"/>
    </xf>
    <xf numFmtId="0" fontId="28" fillId="2" borderId="6" xfId="0" applyFont="1" applyFill="1" applyBorder="1" applyAlignment="1">
      <alignment vertical="top" wrapText="1"/>
    </xf>
    <xf numFmtId="0" fontId="0" fillId="0" borderId="8" xfId="0" applyBorder="1"/>
    <xf numFmtId="0" fontId="21" fillId="0" borderId="2" xfId="0" applyFont="1" applyBorder="1"/>
    <xf numFmtId="0" fontId="23" fillId="0" borderId="0" xfId="0" applyFont="1" applyAlignment="1">
      <alignment vertical="top"/>
    </xf>
    <xf numFmtId="0" fontId="23" fillId="0" borderId="0" xfId="0" applyFont="1" applyAlignment="1">
      <alignment vertical="top" wrapText="1"/>
    </xf>
    <xf numFmtId="0" fontId="14" fillId="0" borderId="0" xfId="0" applyFont="1" applyAlignment="1">
      <alignment horizontal="left"/>
    </xf>
    <xf numFmtId="0" fontId="14" fillId="0" borderId="0" xfId="0" applyFont="1" applyAlignment="1">
      <alignment vertical="top"/>
    </xf>
    <xf numFmtId="0" fontId="43" fillId="0" borderId="0" xfId="0" applyFont="1"/>
    <xf numFmtId="0" fontId="14" fillId="0" borderId="3" xfId="0" applyFont="1" applyBorder="1"/>
    <xf numFmtId="0" fontId="14"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8" fillId="3" borderId="4" xfId="0" applyFont="1" applyFill="1" applyBorder="1" applyAlignment="1">
      <alignment vertical="top" wrapText="1"/>
    </xf>
    <xf numFmtId="0" fontId="28" fillId="3" borderId="5" xfId="0" applyFont="1" applyFill="1" applyBorder="1" applyAlignment="1">
      <alignment vertical="top" wrapText="1"/>
    </xf>
    <xf numFmtId="0" fontId="46" fillId="0" borderId="0" xfId="0" applyFont="1"/>
    <xf numFmtId="0" fontId="23" fillId="0" borderId="4" xfId="0" applyFont="1" applyBorder="1"/>
    <xf numFmtId="0" fontId="21" fillId="0" borderId="2" xfId="0" applyFont="1" applyBorder="1" applyAlignment="1">
      <alignment horizontal="center"/>
    </xf>
    <xf numFmtId="0" fontId="21" fillId="0" borderId="0" xfId="0" applyFont="1" applyAlignment="1">
      <alignment horizontal="center" vertical="center" wrapText="1"/>
    </xf>
    <xf numFmtId="0" fontId="21" fillId="0" borderId="7" xfId="543" applyFont="1" applyBorder="1" applyAlignment="1">
      <alignment horizontal="right"/>
    </xf>
    <xf numFmtId="0" fontId="22" fillId="0" borderId="9" xfId="543" applyFont="1" applyBorder="1"/>
    <xf numFmtId="0" fontId="23" fillId="0" borderId="6" xfId="543" applyFont="1" applyBorder="1"/>
    <xf numFmtId="0" fontId="22" fillId="0" borderId="6" xfId="543" applyFont="1" applyBorder="1" applyAlignment="1">
      <alignment horizontal="right"/>
    </xf>
    <xf numFmtId="0" fontId="21" fillId="0" borderId="0" xfId="0" applyFont="1" applyAlignment="1">
      <alignment horizontal="center" vertical="center"/>
    </xf>
    <xf numFmtId="0" fontId="23" fillId="0" borderId="0" xfId="0" applyFont="1" applyAlignment="1">
      <alignment horizontal="left" vertical="center"/>
    </xf>
    <xf numFmtId="0" fontId="52" fillId="0" borderId="3" xfId="0" applyFont="1" applyBorder="1" applyAlignment="1">
      <alignment horizontal="left" vertical="top"/>
    </xf>
    <xf numFmtId="0" fontId="52" fillId="0" borderId="13" xfId="0" applyFont="1" applyBorder="1" applyAlignment="1">
      <alignment horizontal="center" wrapText="1"/>
    </xf>
    <xf numFmtId="0" fontId="52" fillId="0" borderId="13" xfId="0" applyFont="1" applyBorder="1" applyAlignment="1">
      <alignment horizontal="center" vertical="top" wrapText="1"/>
    </xf>
    <xf numFmtId="0" fontId="52" fillId="2" borderId="13" xfId="0" applyFont="1" applyFill="1" applyBorder="1" applyAlignment="1">
      <alignment horizontal="center" wrapText="1"/>
    </xf>
    <xf numFmtId="0" fontId="53" fillId="2" borderId="11" xfId="0" applyFont="1" applyFill="1" applyBorder="1" applyAlignment="1">
      <alignment horizontal="left" vertical="top" wrapText="1"/>
    </xf>
    <xf numFmtId="0" fontId="54" fillId="4" borderId="11" xfId="0" applyFont="1" applyFill="1" applyBorder="1" applyAlignment="1">
      <alignment vertical="top" wrapText="1"/>
    </xf>
    <xf numFmtId="0" fontId="54" fillId="2" borderId="11" xfId="0" applyFont="1" applyFill="1" applyBorder="1" applyAlignment="1">
      <alignment vertical="top" wrapText="1"/>
    </xf>
    <xf numFmtId="0" fontId="54" fillId="0" borderId="11" xfId="0" applyFont="1" applyBorder="1" applyAlignment="1">
      <alignment vertical="top" wrapText="1"/>
    </xf>
    <xf numFmtId="0" fontId="54" fillId="0" borderId="11" xfId="0" applyFont="1" applyBorder="1" applyAlignment="1">
      <alignment horizontal="right" vertical="top" wrapText="1"/>
    </xf>
    <xf numFmtId="168" fontId="54" fillId="0" borderId="11" xfId="0" applyNumberFormat="1" applyFont="1" applyBorder="1" applyAlignment="1">
      <alignment vertical="top" wrapText="1"/>
    </xf>
    <xf numFmtId="168" fontId="54" fillId="5" borderId="11" xfId="0" applyNumberFormat="1" applyFont="1" applyFill="1" applyBorder="1" applyAlignment="1" applyProtection="1">
      <alignment vertical="top" wrapText="1"/>
      <protection locked="0"/>
    </xf>
    <xf numFmtId="168" fontId="54" fillId="6" borderId="11" xfId="0" applyNumberFormat="1" applyFont="1" applyFill="1" applyBorder="1" applyAlignment="1">
      <alignment horizontal="center" vertical="top" wrapText="1"/>
    </xf>
    <xf numFmtId="0" fontId="52" fillId="0" borderId="11" xfId="0" applyFont="1" applyBorder="1" applyAlignment="1">
      <alignment horizontal="right" vertical="top" wrapText="1"/>
    </xf>
    <xf numFmtId="168" fontId="52" fillId="0" borderId="11" xfId="0" applyNumberFormat="1" applyFont="1" applyBorder="1" applyAlignment="1">
      <alignment vertical="top" wrapText="1"/>
    </xf>
    <xf numFmtId="168" fontId="54" fillId="4" borderId="11" xfId="0" applyNumberFormat="1" applyFont="1" applyFill="1" applyBorder="1" applyAlignment="1">
      <alignment vertical="top" wrapText="1"/>
    </xf>
    <xf numFmtId="0" fontId="52" fillId="2" borderId="11" xfId="0" applyFont="1" applyFill="1" applyBorder="1" applyAlignment="1">
      <alignment vertical="top" wrapText="1"/>
    </xf>
    <xf numFmtId="0" fontId="52" fillId="0" borderId="11" xfId="0" applyFont="1" applyBorder="1" applyAlignment="1">
      <alignment vertical="top" wrapText="1"/>
    </xf>
    <xf numFmtId="0" fontId="17" fillId="0" borderId="11" xfId="0" applyFont="1" applyBorder="1" applyAlignment="1">
      <alignment horizontal="right" vertical="top" wrapText="1"/>
    </xf>
    <xf numFmtId="0" fontId="54" fillId="0" borderId="11" xfId="0" applyFont="1" applyBorder="1" applyAlignment="1" applyProtection="1">
      <alignment horizontal="right" vertical="top" wrapText="1"/>
      <protection locked="0"/>
    </xf>
    <xf numFmtId="0" fontId="52" fillId="0" borderId="0" xfId="0" applyFont="1" applyAlignment="1">
      <alignment horizontal="left" vertical="top"/>
    </xf>
    <xf numFmtId="0" fontId="54" fillId="0" borderId="0" xfId="0" applyFont="1" applyAlignment="1">
      <alignment horizontal="left" vertical="top"/>
    </xf>
    <xf numFmtId="0" fontId="54" fillId="0" borderId="0" xfId="0" applyFont="1" applyAlignment="1">
      <alignment vertical="top" wrapText="1"/>
    </xf>
    <xf numFmtId="0" fontId="54" fillId="0" borderId="0" xfId="0" applyFont="1" applyAlignment="1">
      <alignment vertical="top"/>
    </xf>
    <xf numFmtId="0" fontId="52" fillId="0" borderId="0" xfId="0" applyFont="1" applyAlignment="1">
      <alignment horizontal="right" vertical="top"/>
    </xf>
    <xf numFmtId="0" fontId="54" fillId="2" borderId="0" xfId="0" applyFont="1" applyFill="1" applyAlignment="1">
      <alignment vertical="top" wrapText="1"/>
    </xf>
    <xf numFmtId="0" fontId="52" fillId="0" borderId="0" xfId="0" applyFont="1" applyAlignment="1">
      <alignment vertical="top"/>
    </xf>
    <xf numFmtId="166" fontId="23" fillId="0" borderId="0" xfId="0" applyNumberFormat="1" applyFont="1" applyAlignment="1">
      <alignment horizontal="left"/>
    </xf>
    <xf numFmtId="0" fontId="55" fillId="0" borderId="0" xfId="0" applyFont="1"/>
    <xf numFmtId="0" fontId="14" fillId="0" borderId="0" xfId="244" applyFont="1" applyFill="1" applyBorder="1" applyAlignment="1" applyProtection="1">
      <alignment horizontal="left"/>
    </xf>
    <xf numFmtId="0" fontId="45" fillId="0" borderId="0" xfId="0" applyFont="1"/>
    <xf numFmtId="0" fontId="45" fillId="0" borderId="0" xfId="244" applyFont="1" applyFill="1" applyBorder="1" applyAlignment="1" applyProtection="1">
      <alignment horizontal="left"/>
    </xf>
    <xf numFmtId="0" fontId="20" fillId="3" borderId="11" xfId="0" applyFont="1" applyFill="1" applyBorder="1" applyAlignment="1">
      <alignment vertical="top"/>
    </xf>
    <xf numFmtId="0" fontId="0" fillId="7" borderId="0" xfId="0" applyFill="1"/>
    <xf numFmtId="0" fontId="34" fillId="0" borderId="0" xfId="0" applyFont="1"/>
    <xf numFmtId="0" fontId="57" fillId="0" borderId="0" xfId="0" applyFont="1"/>
    <xf numFmtId="0" fontId="32" fillId="0" borderId="0" xfId="0" applyFont="1" applyAlignment="1">
      <alignment horizontal="center"/>
    </xf>
    <xf numFmtId="0" fontId="32" fillId="0" borderId="0" xfId="0" applyFont="1"/>
    <xf numFmtId="0" fontId="32" fillId="0" borderId="0" xfId="0" applyFont="1" applyAlignment="1">
      <alignment horizontal="left"/>
    </xf>
    <xf numFmtId="49" fontId="21" fillId="0" borderId="0" xfId="0" applyNumberFormat="1" applyFont="1" applyAlignment="1">
      <alignment horizontal="center"/>
    </xf>
    <xf numFmtId="0" fontId="49" fillId="0" borderId="0" xfId="0" applyFont="1" applyAlignment="1">
      <alignment horizontal="center"/>
    </xf>
    <xf numFmtId="0" fontId="48" fillId="0" borderId="0" xfId="244" applyFont="1" applyAlignment="1" applyProtection="1">
      <alignment horizontal="center"/>
    </xf>
    <xf numFmtId="0" fontId="23" fillId="0" borderId="0" xfId="0" quotePrefix="1" applyFont="1" applyAlignment="1">
      <alignment horizontal="left"/>
    </xf>
    <xf numFmtId="49" fontId="23" fillId="0" borderId="0" xfId="0" applyNumberFormat="1" applyFont="1" applyAlignment="1">
      <alignment horizontal="center"/>
    </xf>
    <xf numFmtId="0" fontId="21" fillId="0" borderId="0" xfId="0" quotePrefix="1" applyFont="1" applyAlignment="1">
      <alignment horizontal="center"/>
    </xf>
    <xf numFmtId="49" fontId="0" fillId="0" borderId="0" xfId="0" applyNumberFormat="1"/>
    <xf numFmtId="0" fontId="46" fillId="0" borderId="0" xfId="0" applyFont="1" applyAlignment="1">
      <alignment horizontal="left"/>
    </xf>
    <xf numFmtId="49" fontId="23" fillId="0" borderId="0" xfId="0" applyNumberFormat="1" applyFont="1"/>
    <xf numFmtId="49" fontId="21" fillId="0" borderId="0" xfId="0" applyNumberFormat="1" applyFont="1" applyAlignment="1">
      <alignment horizontal="left"/>
    </xf>
    <xf numFmtId="168" fontId="23" fillId="0" borderId="0" xfId="0" applyNumberFormat="1" applyFont="1" applyAlignment="1">
      <alignment horizontal="center"/>
    </xf>
    <xf numFmtId="168" fontId="33" fillId="0" borderId="0" xfId="0" applyNumberFormat="1" applyFont="1" applyAlignment="1">
      <alignment horizontal="left" vertical="top" wrapText="1"/>
    </xf>
    <xf numFmtId="0" fontId="51" fillId="0" borderId="3" xfId="0" applyFont="1" applyBorder="1"/>
    <xf numFmtId="168" fontId="0" fillId="0" borderId="0" xfId="0" applyNumberFormat="1" applyAlignment="1">
      <alignment horizontal="center"/>
    </xf>
    <xf numFmtId="0" fontId="34" fillId="0" borderId="0" xfId="0" applyFont="1" applyAlignment="1">
      <alignment vertical="top" wrapText="1"/>
    </xf>
    <xf numFmtId="0" fontId="52" fillId="0" borderId="4" xfId="0" applyFont="1" applyBorder="1" applyAlignment="1">
      <alignment horizontal="right"/>
    </xf>
    <xf numFmtId="0" fontId="59" fillId="0" borderId="0" xfId="0" applyFont="1"/>
    <xf numFmtId="3" fontId="23" fillId="0" borderId="0" xfId="0" applyNumberFormat="1" applyFont="1" applyAlignment="1">
      <alignment horizontal="center"/>
    </xf>
    <xf numFmtId="168" fontId="14" fillId="0" borderId="0" xfId="0" applyNumberFormat="1" applyFont="1" applyAlignment="1">
      <alignment horizontal="left" vertical="top"/>
    </xf>
    <xf numFmtId="168" fontId="23" fillId="0" borderId="0" xfId="0" applyNumberFormat="1" applyFont="1" applyAlignment="1">
      <alignment horizontal="left" vertical="top"/>
    </xf>
    <xf numFmtId="0" fontId="23" fillId="0" borderId="0" xfId="0" applyFont="1" applyAlignment="1">
      <alignment horizontal="center" vertical="center"/>
    </xf>
    <xf numFmtId="0" fontId="23" fillId="0" borderId="0" xfId="0" applyFont="1" applyAlignment="1">
      <alignment vertical="center"/>
    </xf>
    <xf numFmtId="0" fontId="0" fillId="0" borderId="0" xfId="0" applyAlignment="1">
      <alignment vertical="center"/>
    </xf>
    <xf numFmtId="0" fontId="54" fillId="0" borderId="11" xfId="0" applyFont="1" applyBorder="1" applyAlignment="1">
      <alignment horizontal="right" vertical="top"/>
    </xf>
    <xf numFmtId="0" fontId="54" fillId="0" borderId="0" xfId="0" applyFont="1" applyAlignment="1">
      <alignment horizontal="right" vertical="top" wrapText="1"/>
    </xf>
    <xf numFmtId="0" fontId="54" fillId="2" borderId="12" xfId="0" applyFont="1" applyFill="1" applyBorder="1" applyAlignment="1">
      <alignment vertical="top" wrapText="1"/>
    </xf>
    <xf numFmtId="0" fontId="54" fillId="0" borderId="14" xfId="0" applyFont="1" applyBorder="1" applyAlignment="1">
      <alignment vertical="top" wrapText="1"/>
    </xf>
    <xf numFmtId="168" fontId="54" fillId="5" borderId="11" xfId="0" applyNumberFormat="1" applyFont="1" applyFill="1" applyBorder="1" applyAlignment="1" applyProtection="1">
      <alignment vertical="top"/>
      <protection locked="0"/>
    </xf>
    <xf numFmtId="0" fontId="54" fillId="2" borderId="11" xfId="0" applyFont="1" applyFill="1" applyBorder="1" applyAlignment="1" applyProtection="1">
      <alignment vertical="top"/>
      <protection locked="0"/>
    </xf>
    <xf numFmtId="0" fontId="54" fillId="0" borderId="11" xfId="0" applyFont="1" applyBorder="1" applyAlignment="1" applyProtection="1">
      <alignment vertical="top"/>
      <protection locked="0"/>
    </xf>
    <xf numFmtId="168" fontId="54" fillId="0" borderId="11" xfId="0" applyNumberFormat="1" applyFont="1" applyBorder="1" applyAlignment="1">
      <alignment vertical="top"/>
    </xf>
    <xf numFmtId="168" fontId="54" fillId="6" borderId="11" xfId="0" applyNumberFormat="1" applyFont="1" applyFill="1" applyBorder="1" applyAlignment="1">
      <alignment horizontal="center" vertical="top"/>
    </xf>
    <xf numFmtId="0" fontId="21" fillId="0" borderId="0" xfId="542" applyFont="1" applyProtection="1">
      <protection locked="0"/>
    </xf>
    <xf numFmtId="0" fontId="14" fillId="0" borderId="0" xfId="539" applyProtection="1"/>
    <xf numFmtId="0" fontId="34" fillId="8" borderId="0" xfId="539" applyFont="1" applyFill="1" applyAlignment="1" applyProtection="1">
      <alignment horizontal="centerContinuous"/>
    </xf>
    <xf numFmtId="4" fontId="23" fillId="0" borderId="0" xfId="0" applyNumberFormat="1" applyFont="1"/>
    <xf numFmtId="0" fontId="21" fillId="0" borderId="0" xfId="543" applyFont="1"/>
    <xf numFmtId="0" fontId="23" fillId="0" borderId="0" xfId="543" applyFont="1" applyAlignment="1">
      <alignment horizontal="left"/>
    </xf>
    <xf numFmtId="0" fontId="23" fillId="0" borderId="15" xfId="0" applyFont="1" applyBorder="1"/>
    <xf numFmtId="0" fontId="23" fillId="0" borderId="11" xfId="0" applyFont="1" applyBorder="1"/>
    <xf numFmtId="2" fontId="37" fillId="0" borderId="11" xfId="0" applyNumberFormat="1" applyFont="1" applyBorder="1"/>
    <xf numFmtId="0" fontId="14" fillId="0" borderId="0" xfId="0" applyFont="1" applyProtection="1">
      <protection locked="0"/>
    </xf>
    <xf numFmtId="0" fontId="62" fillId="0" borderId="0" xfId="0" applyFont="1" applyAlignment="1">
      <alignment horizontal="center"/>
    </xf>
    <xf numFmtId="0" fontId="23" fillId="0" borderId="0" xfId="271"/>
    <xf numFmtId="0" fontId="21" fillId="0" borderId="0" xfId="271" applyFont="1"/>
    <xf numFmtId="0" fontId="23" fillId="0" borderId="0" xfId="271" applyAlignment="1">
      <alignment horizontal="left"/>
    </xf>
    <xf numFmtId="0" fontId="15" fillId="0" borderId="0" xfId="244" applyFill="1" applyBorder="1" applyProtection="1">
      <protection locked="0"/>
    </xf>
    <xf numFmtId="168" fontId="21" fillId="0" borderId="2" xfId="543" applyNumberFormat="1" applyFont="1" applyBorder="1" applyAlignment="1">
      <alignment horizontal="center" vertical="center"/>
    </xf>
    <xf numFmtId="0" fontId="36" fillId="0" borderId="0" xfId="543" applyFont="1" applyAlignment="1">
      <alignment horizontal="right" vertical="top" wrapText="1"/>
    </xf>
    <xf numFmtId="0" fontId="34" fillId="0" borderId="2" xfId="543" applyFont="1" applyBorder="1" applyAlignment="1">
      <alignment horizontal="right" vertical="top" wrapText="1"/>
    </xf>
    <xf numFmtId="0" fontId="19" fillId="0" borderId="0" xfId="0" applyFont="1"/>
    <xf numFmtId="0" fontId="64" fillId="0" borderId="0" xfId="0" applyFont="1"/>
    <xf numFmtId="0" fontId="62" fillId="0" borderId="0" xfId="0" applyFont="1"/>
    <xf numFmtId="0" fontId="34"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1" fillId="0" borderId="0" xfId="0" applyNumberFormat="1" applyFont="1" applyAlignment="1">
      <alignment horizontal="center"/>
    </xf>
    <xf numFmtId="3" fontId="0" fillId="0" borderId="0" xfId="0" applyNumberFormat="1" applyAlignment="1">
      <alignment horizontal="center"/>
    </xf>
    <xf numFmtId="3" fontId="23" fillId="0" borderId="0" xfId="0" applyNumberFormat="1" applyFont="1"/>
    <xf numFmtId="0" fontId="63" fillId="0" borderId="0" xfId="0" applyFont="1"/>
    <xf numFmtId="168" fontId="19" fillId="0" borderId="0" xfId="0" applyNumberFormat="1" applyFont="1"/>
    <xf numFmtId="10" fontId="19" fillId="0" borderId="0" xfId="0" applyNumberFormat="1" applyFont="1" applyAlignment="1">
      <alignment horizontal="center"/>
    </xf>
    <xf numFmtId="3" fontId="66" fillId="0" borderId="0" xfId="0" applyNumberFormat="1" applyFont="1"/>
    <xf numFmtId="3" fontId="19" fillId="0" borderId="0" xfId="0" applyNumberFormat="1" applyFont="1"/>
    <xf numFmtId="168" fontId="63" fillId="0" borderId="0" xfId="0" applyNumberFormat="1" applyFont="1"/>
    <xf numFmtId="168" fontId="63" fillId="0" borderId="0" xfId="0" applyNumberFormat="1" applyFont="1" applyAlignment="1">
      <alignment horizontal="center"/>
    </xf>
    <xf numFmtId="0" fontId="19" fillId="5" borderId="0" xfId="0" applyFont="1" applyFill="1" applyAlignment="1">
      <alignment horizontal="left"/>
    </xf>
    <xf numFmtId="0" fontId="19" fillId="5" borderId="0" xfId="0" applyFont="1" applyFill="1"/>
    <xf numFmtId="10" fontId="19" fillId="0" borderId="0" xfId="0" applyNumberFormat="1" applyFont="1"/>
    <xf numFmtId="172" fontId="19" fillId="0" borderId="0" xfId="0" applyNumberFormat="1" applyFont="1"/>
    <xf numFmtId="172" fontId="19" fillId="0" borderId="0" xfId="0" applyNumberFormat="1" applyFont="1" applyAlignment="1">
      <alignment horizontal="center"/>
    </xf>
    <xf numFmtId="0" fontId="19" fillId="0" borderId="6" xfId="0" applyFont="1" applyBorder="1"/>
    <xf numFmtId="10" fontId="19" fillId="0" borderId="6" xfId="0" applyNumberFormat="1" applyFont="1" applyBorder="1" applyAlignment="1">
      <alignment horizontal="center"/>
    </xf>
    <xf numFmtId="3" fontId="19" fillId="0" borderId="6" xfId="0" applyNumberFormat="1" applyFont="1" applyBorder="1"/>
    <xf numFmtId="10" fontId="23" fillId="0" borderId="0" xfId="0" applyNumberFormat="1" applyFont="1" applyAlignment="1">
      <alignment horizontal="center"/>
    </xf>
    <xf numFmtId="3" fontId="23" fillId="0" borderId="0" xfId="0" applyNumberFormat="1" applyFont="1" applyAlignment="1">
      <alignment vertical="top"/>
    </xf>
    <xf numFmtId="10" fontId="21" fillId="0" borderId="0" xfId="0" applyNumberFormat="1" applyFont="1" applyAlignment="1">
      <alignment horizontal="center"/>
    </xf>
    <xf numFmtId="0" fontId="62" fillId="0" borderId="6" xfId="0" applyFont="1" applyBorder="1" applyAlignment="1">
      <alignment horizontal="center"/>
    </xf>
    <xf numFmtId="172" fontId="23" fillId="0" borderId="0" xfId="0" applyNumberFormat="1" applyFont="1" applyAlignment="1">
      <alignment horizontal="center"/>
    </xf>
    <xf numFmtId="10" fontId="67" fillId="0" borderId="0" xfId="0" applyNumberFormat="1" applyFont="1" applyAlignment="1">
      <alignment horizontal="center"/>
    </xf>
    <xf numFmtId="4" fontId="23" fillId="0" borderId="0" xfId="271" applyNumberFormat="1" applyAlignment="1">
      <alignment horizontal="left"/>
    </xf>
    <xf numFmtId="0" fontId="23" fillId="0" borderId="0" xfId="271" applyAlignment="1">
      <alignment horizontal="center"/>
    </xf>
    <xf numFmtId="0" fontId="23" fillId="9" borderId="6" xfId="0" applyFont="1" applyFill="1" applyBorder="1"/>
    <xf numFmtId="0" fontId="23" fillId="0" borderId="4" xfId="271" applyBorder="1"/>
    <xf numFmtId="0" fontId="23" fillId="0" borderId="6" xfId="271" applyBorder="1"/>
    <xf numFmtId="0" fontId="23" fillId="0" borderId="1" xfId="0" applyFont="1" applyBorder="1"/>
    <xf numFmtId="168" fontId="23" fillId="0" borderId="3" xfId="0" applyNumberFormat="1" applyFont="1" applyBorder="1" applyAlignment="1">
      <alignment vertical="top"/>
    </xf>
    <xf numFmtId="168" fontId="23" fillId="0" borderId="4" xfId="0" applyNumberFormat="1" applyFont="1" applyBorder="1" applyAlignment="1">
      <alignment vertical="top"/>
    </xf>
    <xf numFmtId="168" fontId="23" fillId="0" borderId="5" xfId="0" applyNumberFormat="1" applyFont="1" applyBorder="1" applyAlignment="1">
      <alignment vertical="top"/>
    </xf>
    <xf numFmtId="168" fontId="23" fillId="0" borderId="8" xfId="0" applyNumberFormat="1" applyFont="1" applyBorder="1" applyAlignment="1">
      <alignment vertical="top"/>
    </xf>
    <xf numFmtId="168" fontId="23" fillId="0" borderId="0" xfId="0" applyNumberFormat="1" applyFont="1" applyAlignment="1">
      <alignment vertical="top"/>
    </xf>
    <xf numFmtId="0" fontId="23" fillId="0" borderId="0" xfId="0" applyFont="1" applyAlignment="1">
      <alignment horizontal="right" vertical="top"/>
    </xf>
    <xf numFmtId="0" fontId="23"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3" fillId="5" borderId="4" xfId="0" applyFont="1" applyFill="1" applyBorder="1" applyAlignment="1" applyProtection="1">
      <alignment horizontal="left" vertical="top"/>
      <protection locked="0"/>
    </xf>
    <xf numFmtId="0" fontId="23" fillId="5" borderId="5" xfId="0" applyFont="1" applyFill="1" applyBorder="1" applyAlignment="1" applyProtection="1">
      <alignment horizontal="left" vertical="top"/>
      <protection locked="0"/>
    </xf>
    <xf numFmtId="4" fontId="49" fillId="0" borderId="0" xfId="0" applyNumberFormat="1" applyFont="1" applyAlignment="1">
      <alignment horizontal="center"/>
    </xf>
    <xf numFmtId="4" fontId="23" fillId="0" borderId="0" xfId="0" applyNumberFormat="1" applyFont="1" applyAlignment="1">
      <alignment horizontal="center"/>
    </xf>
    <xf numFmtId="4" fontId="0" fillId="0" borderId="0" xfId="0" applyNumberFormat="1"/>
    <xf numFmtId="0" fontId="33" fillId="0" borderId="1" xfId="543" applyFont="1" applyBorder="1" applyAlignment="1">
      <alignment horizontal="left" vertical="top" wrapText="1"/>
    </xf>
    <xf numFmtId="0" fontId="33" fillId="0" borderId="12" xfId="543" applyFont="1" applyBorder="1" applyAlignment="1">
      <alignment horizontal="center" vertical="top" wrapText="1"/>
    </xf>
    <xf numFmtId="0" fontId="33" fillId="0" borderId="8" xfId="543" applyFont="1" applyBorder="1" applyAlignment="1">
      <alignment horizontal="left" vertical="top" wrapText="1"/>
    </xf>
    <xf numFmtId="0" fontId="28" fillId="3" borderId="4" xfId="271" applyFont="1" applyFill="1" applyBorder="1" applyAlignment="1">
      <alignment vertical="top" wrapText="1"/>
    </xf>
    <xf numFmtId="0" fontId="20" fillId="3" borderId="11" xfId="271" applyFont="1" applyFill="1" applyBorder="1" applyAlignment="1">
      <alignment vertical="top"/>
    </xf>
    <xf numFmtId="0" fontId="21" fillId="0" borderId="9" xfId="271" applyFont="1" applyBorder="1" applyAlignment="1">
      <alignment horizontal="center" wrapText="1"/>
    </xf>
    <xf numFmtId="0" fontId="28" fillId="3" borderId="4" xfId="271" applyFont="1" applyFill="1" applyBorder="1" applyAlignment="1" applyProtection="1">
      <alignment vertical="top" wrapText="1"/>
      <protection locked="0"/>
    </xf>
    <xf numFmtId="0" fontId="28" fillId="3" borderId="5" xfId="271" applyFont="1" applyFill="1" applyBorder="1" applyAlignment="1" applyProtection="1">
      <alignment vertical="top" wrapText="1"/>
      <protection locked="0"/>
    </xf>
    <xf numFmtId="0" fontId="21" fillId="0" borderId="13" xfId="271" applyFont="1" applyBorder="1" applyAlignment="1">
      <alignment horizontal="center" wrapText="1"/>
    </xf>
    <xf numFmtId="0" fontId="46" fillId="2" borderId="11" xfId="271" applyFont="1" applyFill="1" applyBorder="1" applyAlignment="1">
      <alignment horizontal="left" vertical="top" wrapText="1"/>
    </xf>
    <xf numFmtId="0" fontId="23" fillId="0" borderId="11" xfId="271" applyBorder="1" applyAlignment="1" applyProtection="1">
      <alignment vertical="top" wrapText="1"/>
      <protection locked="0"/>
    </xf>
    <xf numFmtId="168" fontId="23" fillId="5" borderId="11" xfId="271" applyNumberFormat="1" applyFill="1" applyBorder="1" applyAlignment="1" applyProtection="1">
      <alignment vertical="top" wrapText="1"/>
      <protection locked="0"/>
    </xf>
    <xf numFmtId="0" fontId="23" fillId="5" borderId="3" xfId="271" applyFill="1" applyBorder="1" applyAlignment="1" applyProtection="1">
      <alignment vertical="top" wrapText="1"/>
      <protection locked="0"/>
    </xf>
    <xf numFmtId="0" fontId="23" fillId="5" borderId="11" xfId="271" applyFill="1" applyBorder="1" applyAlignment="1" applyProtection="1">
      <alignment vertical="top" wrapText="1"/>
      <protection locked="0"/>
    </xf>
    <xf numFmtId="0" fontId="23" fillId="0" borderId="11" xfId="271" applyBorder="1" applyAlignment="1">
      <alignment horizontal="right" vertical="top" wrapText="1"/>
    </xf>
    <xf numFmtId="168" fontId="23" fillId="0" borderId="11" xfId="271" applyNumberFormat="1" applyBorder="1" applyAlignment="1">
      <alignment vertical="top" wrapText="1"/>
    </xf>
    <xf numFmtId="0" fontId="21" fillId="0" borderId="11" xfId="271" applyFont="1" applyBorder="1" applyAlignment="1">
      <alignment horizontal="right" vertical="top" wrapText="1"/>
    </xf>
    <xf numFmtId="0" fontId="23" fillId="5" borderId="11" xfId="271" applyFill="1" applyBorder="1" applyAlignment="1" applyProtection="1">
      <alignment horizontal="right" vertical="top" wrapText="1"/>
      <protection locked="0"/>
    </xf>
    <xf numFmtId="168" fontId="21" fillId="0" borderId="11" xfId="271" applyNumberFormat="1" applyFont="1" applyBorder="1" applyAlignment="1">
      <alignment vertical="top" wrapText="1"/>
    </xf>
    <xf numFmtId="0" fontId="31" fillId="0" borderId="11" xfId="271" applyFont="1" applyBorder="1" applyAlignment="1">
      <alignment horizontal="right" vertical="top" wrapText="1"/>
    </xf>
    <xf numFmtId="0" fontId="28" fillId="0" borderId="0" xfId="271" applyFont="1" applyAlignment="1" applyProtection="1">
      <alignment horizontal="right" vertical="top" wrapText="1"/>
      <protection locked="0"/>
    </xf>
    <xf numFmtId="0" fontId="28" fillId="0" borderId="0" xfId="271" applyFont="1" applyAlignment="1" applyProtection="1">
      <alignment vertical="top" wrapText="1"/>
      <protection locked="0"/>
    </xf>
    <xf numFmtId="0" fontId="23" fillId="0" borderId="5" xfId="271" applyBorder="1" applyAlignment="1" applyProtection="1">
      <alignment vertical="top" wrapText="1"/>
      <protection locked="0"/>
    </xf>
    <xf numFmtId="0" fontId="21" fillId="0" borderId="3" xfId="271" applyFont="1" applyBorder="1" applyAlignment="1">
      <alignment horizontal="left" vertical="top"/>
    </xf>
    <xf numFmtId="0" fontId="23" fillId="0" borderId="4" xfId="271" applyBorder="1" applyAlignment="1" applyProtection="1">
      <alignment horizontal="left" vertical="top"/>
      <protection locked="0"/>
    </xf>
    <xf numFmtId="0" fontId="23" fillId="0" borderId="4" xfId="271" applyBorder="1" applyAlignment="1" applyProtection="1">
      <alignment vertical="top" wrapText="1"/>
      <protection locked="0"/>
    </xf>
    <xf numFmtId="0" fontId="28" fillId="0" borderId="0" xfId="271" applyFont="1" applyAlignment="1">
      <alignment vertical="top" wrapText="1"/>
    </xf>
    <xf numFmtId="0" fontId="23" fillId="0" borderId="4" xfId="271" applyBorder="1" applyAlignment="1">
      <alignment vertical="top" wrapText="1"/>
    </xf>
    <xf numFmtId="0" fontId="46" fillId="2" borderId="11" xfId="271" applyFont="1" applyFill="1" applyBorder="1" applyAlignment="1" applyProtection="1">
      <alignment horizontal="left" vertical="top" wrapText="1"/>
      <protection locked="0"/>
    </xf>
    <xf numFmtId="0" fontId="51" fillId="0" borderId="11" xfId="0" applyFont="1" applyBorder="1" applyAlignment="1">
      <alignment horizontal="right" vertical="top" wrapText="1"/>
    </xf>
    <xf numFmtId="0" fontId="60" fillId="0" borderId="0" xfId="542"/>
    <xf numFmtId="0" fontId="23" fillId="8" borderId="0" xfId="542" quotePrefix="1" applyFont="1" applyFill="1" applyAlignment="1">
      <alignment horizontal="left"/>
    </xf>
    <xf numFmtId="0" fontId="23" fillId="8" borderId="0" xfId="542" applyFont="1" applyFill="1"/>
    <xf numFmtId="0" fontId="31" fillId="8" borderId="0" xfId="542" applyFont="1" applyFill="1"/>
    <xf numFmtId="0" fontId="51" fillId="0" borderId="11" xfId="271" applyFont="1" applyBorder="1" applyAlignment="1">
      <alignment horizontal="right" vertical="top"/>
    </xf>
    <xf numFmtId="0" fontId="51" fillId="0" borderId="11" xfId="271" applyFont="1" applyBorder="1" applyAlignment="1">
      <alignment horizontal="right" vertical="top" wrapText="1"/>
    </xf>
    <xf numFmtId="0" fontId="23" fillId="0" borderId="0" xfId="271" applyAlignment="1">
      <alignment horizontal="left" vertical="top"/>
    </xf>
    <xf numFmtId="0" fontId="21" fillId="0" borderId="0" xfId="271" applyFont="1" applyAlignment="1">
      <alignment horizontal="right"/>
    </xf>
    <xf numFmtId="0" fontId="22" fillId="0" borderId="0" xfId="271" applyFont="1" applyAlignment="1">
      <alignment horizontal="center"/>
    </xf>
    <xf numFmtId="5" fontId="23" fillId="0" borderId="0" xfId="542" applyNumberFormat="1" applyFont="1"/>
    <xf numFmtId="1" fontId="23" fillId="0" borderId="15" xfId="271" applyNumberFormat="1" applyBorder="1"/>
    <xf numFmtId="1" fontId="23" fillId="0" borderId="14" xfId="271" applyNumberFormat="1" applyBorder="1"/>
    <xf numFmtId="0" fontId="22" fillId="0" borderId="6" xfId="271" applyFont="1" applyBorder="1" applyAlignment="1">
      <alignment horizontal="left"/>
    </xf>
    <xf numFmtId="0" fontId="22" fillId="0" borderId="6" xfId="271" applyFont="1" applyBorder="1" applyAlignment="1">
      <alignment horizontal="right"/>
    </xf>
    <xf numFmtId="165" fontId="23" fillId="0" borderId="0" xfId="271" applyNumberFormat="1"/>
    <xf numFmtId="170" fontId="23" fillId="0" borderId="14" xfId="271" applyNumberFormat="1" applyBorder="1"/>
    <xf numFmtId="1" fontId="21" fillId="0" borderId="11" xfId="271" applyNumberFormat="1" applyFont="1" applyBorder="1"/>
    <xf numFmtId="165" fontId="21" fillId="0" borderId="11" xfId="271" applyNumberFormat="1" applyFont="1" applyBorder="1"/>
    <xf numFmtId="3" fontId="54" fillId="0" borderId="11" xfId="0" applyNumberFormat="1" applyFont="1" applyBorder="1" applyAlignment="1">
      <alignment vertical="top" wrapText="1"/>
    </xf>
    <xf numFmtId="166" fontId="23" fillId="0" borderId="0" xfId="0" applyNumberFormat="1" applyFont="1"/>
    <xf numFmtId="0" fontId="0" fillId="0" borderId="0" xfId="0" applyProtection="1">
      <protection locked="0"/>
    </xf>
    <xf numFmtId="0" fontId="21" fillId="0" borderId="0" xfId="271" applyFont="1" applyAlignment="1">
      <alignment horizontal="left"/>
    </xf>
    <xf numFmtId="0" fontId="19" fillId="0" borderId="0" xfId="0" applyFont="1" applyProtection="1">
      <protection locked="0"/>
    </xf>
    <xf numFmtId="0" fontId="19" fillId="0" borderId="0" xfId="271" applyFont="1" applyProtection="1">
      <protection locked="0"/>
    </xf>
    <xf numFmtId="168" fontId="19" fillId="0" borderId="0" xfId="271" applyNumberFormat="1" applyFont="1" applyProtection="1">
      <protection locked="0"/>
    </xf>
    <xf numFmtId="49" fontId="23" fillId="0" borderId="0" xfId="271" applyNumberFormat="1"/>
    <xf numFmtId="0" fontId="27" fillId="0" borderId="1" xfId="0" applyFont="1" applyBorder="1"/>
    <xf numFmtId="0" fontId="14" fillId="0" borderId="2" xfId="0" applyFont="1" applyBorder="1" applyAlignment="1">
      <alignment horizontal="left"/>
    </xf>
    <xf numFmtId="0" fontId="14" fillId="0" borderId="2" xfId="0" applyFont="1" applyBorder="1"/>
    <xf numFmtId="0" fontId="27" fillId="0" borderId="8" xfId="0" applyFont="1" applyBorder="1"/>
    <xf numFmtId="0" fontId="27" fillId="0" borderId="9" xfId="0" applyFont="1" applyBorder="1"/>
    <xf numFmtId="0" fontId="21" fillId="0" borderId="0" xfId="0" applyFont="1" applyAlignment="1">
      <alignment horizontal="left" vertical="top"/>
    </xf>
    <xf numFmtId="0" fontId="72" fillId="0" borderId="0" xfId="0" applyFont="1" applyAlignment="1">
      <alignment vertical="center" wrapText="1"/>
    </xf>
    <xf numFmtId="0" fontId="72" fillId="0" borderId="0" xfId="0" applyFont="1" applyAlignment="1">
      <alignment vertical="center"/>
    </xf>
    <xf numFmtId="0" fontId="72" fillId="0" borderId="0" xfId="0" applyFont="1" applyAlignment="1">
      <alignment horizontal="left" vertical="center" indent="1"/>
    </xf>
    <xf numFmtId="172" fontId="23" fillId="5" borderId="0" xfId="0" applyNumberFormat="1" applyFont="1" applyFill="1" applyAlignment="1">
      <alignment horizontal="center"/>
    </xf>
    <xf numFmtId="0" fontId="23" fillId="0" borderId="0" xfId="271" applyAlignment="1" applyProtection="1">
      <alignment horizontal="left"/>
      <protection locked="0"/>
    </xf>
    <xf numFmtId="0" fontId="23" fillId="0" borderId="0" xfId="0" applyFont="1" applyAlignment="1" applyProtection="1">
      <alignment horizontal="left"/>
      <protection locked="0"/>
    </xf>
    <xf numFmtId="0" fontId="73" fillId="0" borderId="0" xfId="0" applyFont="1" applyAlignment="1">
      <alignment horizontal="left" vertical="center"/>
    </xf>
    <xf numFmtId="0" fontId="33" fillId="0" borderId="2" xfId="543" applyFont="1" applyBorder="1" applyAlignment="1">
      <alignment horizontal="center" vertical="top" wrapText="1"/>
    </xf>
    <xf numFmtId="49" fontId="44" fillId="0" borderId="0" xfId="0" applyNumberFormat="1" applyFont="1" applyAlignment="1">
      <alignment horizontal="center"/>
    </xf>
    <xf numFmtId="0" fontId="49" fillId="0" borderId="0" xfId="271" applyFont="1" applyAlignment="1">
      <alignment horizontal="center"/>
    </xf>
    <xf numFmtId="49" fontId="23" fillId="0" borderId="0" xfId="271" applyNumberFormat="1" applyAlignment="1">
      <alignment horizontal="center"/>
    </xf>
    <xf numFmtId="0" fontId="51" fillId="0" borderId="0" xfId="0" applyFont="1"/>
    <xf numFmtId="5" fontId="77" fillId="0" borderId="11" xfId="541" applyNumberFormat="1" applyFont="1" applyBorder="1" applyAlignment="1" applyProtection="1">
      <alignment horizontal="center"/>
    </xf>
    <xf numFmtId="5" fontId="77" fillId="42" borderId="11" xfId="541" applyNumberFormat="1" applyFont="1" applyFill="1" applyBorder="1" applyAlignment="1" applyProtection="1">
      <alignment horizontal="center"/>
    </xf>
    <xf numFmtId="5" fontId="77" fillId="2" borderId="11" xfId="541" applyNumberFormat="1" applyFont="1" applyFill="1" applyBorder="1" applyAlignment="1" applyProtection="1">
      <alignment horizontal="center"/>
    </xf>
    <xf numFmtId="0" fontId="51" fillId="0" borderId="0" xfId="0" applyFont="1" applyAlignment="1">
      <alignment vertical="top" wrapText="1"/>
    </xf>
    <xf numFmtId="0" fontId="51" fillId="0" borderId="0" xfId="0" applyFont="1" applyAlignment="1">
      <alignment vertical="top"/>
    </xf>
    <xf numFmtId="0" fontId="51" fillId="2" borderId="0" xfId="0" applyFont="1" applyFill="1" applyAlignment="1">
      <alignment vertical="top" wrapText="1"/>
    </xf>
    <xf numFmtId="0" fontId="79" fillId="0" borderId="13" xfId="0" applyFont="1" applyBorder="1" applyAlignment="1">
      <alignment vertical="top" wrapText="1"/>
    </xf>
    <xf numFmtId="0" fontId="28" fillId="0" borderId="0" xfId="0" applyFont="1" applyAlignment="1">
      <alignment vertical="top" wrapText="1"/>
    </xf>
    <xf numFmtId="0" fontId="79" fillId="2" borderId="13" xfId="0" applyFont="1" applyFill="1" applyBorder="1" applyAlignment="1">
      <alignment vertical="top" wrapText="1"/>
    </xf>
    <xf numFmtId="0" fontId="79" fillId="0" borderId="0" xfId="0" applyFont="1" applyAlignment="1">
      <alignment vertical="top" wrapText="1"/>
    </xf>
    <xf numFmtId="0" fontId="79" fillId="2" borderId="0" xfId="0" applyFont="1" applyFill="1" applyAlignment="1">
      <alignment vertical="top" wrapText="1"/>
    </xf>
    <xf numFmtId="0" fontId="51" fillId="0" borderId="0" xfId="0" applyFont="1" applyAlignment="1">
      <alignment horizontal="right" vertical="top" wrapText="1"/>
    </xf>
    <xf numFmtId="168" fontId="51" fillId="5" borderId="6" xfId="0" applyNumberFormat="1" applyFont="1" applyFill="1" applyBorder="1" applyAlignment="1" applyProtection="1">
      <alignment horizontal="right" vertical="top" wrapText="1"/>
      <protection locked="0"/>
    </xf>
    <xf numFmtId="168" fontId="51" fillId="0" borderId="6" xfId="0" applyNumberFormat="1" applyFont="1" applyBorder="1" applyAlignment="1">
      <alignment horizontal="right" vertical="top" wrapText="1"/>
    </xf>
    <xf numFmtId="0" fontId="21" fillId="0" borderId="0" xfId="0" applyFont="1" applyAlignment="1">
      <alignment horizontal="left" vertical="top" wrapText="1"/>
    </xf>
    <xf numFmtId="0" fontId="23" fillId="0" borderId="0" xfId="0" applyFont="1" applyAlignment="1">
      <alignment horizontal="right" vertical="top" wrapText="1"/>
    </xf>
    <xf numFmtId="10" fontId="23" fillId="5" borderId="6" xfId="0" applyNumberFormat="1" applyFont="1" applyFill="1" applyBorder="1" applyAlignment="1" applyProtection="1">
      <alignment horizontal="center" vertical="top" wrapText="1"/>
      <protection locked="0"/>
    </xf>
    <xf numFmtId="0" fontId="62" fillId="0" borderId="0" xfId="0" applyFont="1" applyAlignment="1">
      <alignment horizontal="left" vertical="center"/>
    </xf>
    <xf numFmtId="0" fontId="21" fillId="0" borderId="2" xfId="543" applyFont="1" applyBorder="1" applyAlignment="1">
      <alignment horizontal="center"/>
    </xf>
    <xf numFmtId="0" fontId="0" fillId="0" borderId="0" xfId="543" applyFont="1"/>
    <xf numFmtId="0" fontId="15" fillId="0" borderId="0" xfId="244" quotePrefix="1" applyAlignment="1" applyProtection="1">
      <alignment horizontal="left"/>
    </xf>
    <xf numFmtId="168" fontId="51" fillId="0" borderId="11" xfId="0" applyNumberFormat="1" applyFont="1" applyBorder="1" applyAlignment="1">
      <alignment vertical="top" wrapText="1"/>
    </xf>
    <xf numFmtId="168" fontId="51" fillId="4" borderId="11" xfId="0" applyNumberFormat="1" applyFont="1" applyFill="1" applyBorder="1" applyAlignment="1">
      <alignment vertical="top" wrapText="1"/>
    </xf>
    <xf numFmtId="0" fontId="103" fillId="0" borderId="0" xfId="0" applyFont="1" applyAlignment="1">
      <alignment horizontal="left" vertical="top"/>
    </xf>
    <xf numFmtId="0" fontId="104" fillId="0" borderId="0" xfId="0" applyFont="1" applyAlignment="1">
      <alignment horizontal="left" vertical="top"/>
    </xf>
    <xf numFmtId="0" fontId="72" fillId="0" borderId="0" xfId="0" applyFont="1"/>
    <xf numFmtId="0" fontId="21" fillId="8" borderId="11" xfId="542" applyFont="1" applyFill="1" applyBorder="1" applyAlignment="1">
      <alignment horizontal="left"/>
    </xf>
    <xf numFmtId="0" fontId="21" fillId="8" borderId="11" xfId="542" applyFont="1" applyFill="1" applyBorder="1" applyAlignment="1">
      <alignment horizontal="center"/>
    </xf>
    <xf numFmtId="0" fontId="61" fillId="8" borderId="11" xfId="542" applyFont="1" applyFill="1" applyBorder="1" applyAlignment="1">
      <alignment horizontal="left"/>
    </xf>
    <xf numFmtId="0" fontId="61" fillId="0" borderId="11" xfId="542" applyFont="1" applyBorder="1" applyAlignment="1">
      <alignment horizontal="left"/>
    </xf>
    <xf numFmtId="0" fontId="21" fillId="0" borderId="0" xfId="271" applyFont="1" applyAlignment="1" applyProtection="1">
      <alignment horizontal="center" wrapText="1"/>
      <protection locked="0"/>
    </xf>
    <xf numFmtId="0" fontId="23" fillId="0" borderId="0" xfId="271" applyAlignment="1" applyProtection="1">
      <alignment vertical="top" wrapText="1"/>
      <protection locked="0"/>
    </xf>
    <xf numFmtId="0" fontId="21" fillId="0" borderId="0" xfId="271" applyFont="1" applyAlignment="1" applyProtection="1">
      <alignment vertical="top" wrapText="1"/>
      <protection locked="0"/>
    </xf>
    <xf numFmtId="0" fontId="21" fillId="0" borderId="8" xfId="271" applyFont="1" applyBorder="1" applyAlignment="1" applyProtection="1">
      <alignment horizontal="center" wrapText="1"/>
      <protection locked="0"/>
    </xf>
    <xf numFmtId="0" fontId="23" fillId="0" borderId="8" xfId="271" applyBorder="1" applyAlignment="1" applyProtection="1">
      <alignment vertical="top" wrapText="1"/>
      <protection locked="0"/>
    </xf>
    <xf numFmtId="0" fontId="21" fillId="0" borderId="8" xfId="271" applyFont="1" applyBorder="1" applyAlignment="1" applyProtection="1">
      <alignment vertical="top" wrapText="1"/>
      <protection locked="0"/>
    </xf>
    <xf numFmtId="0" fontId="14" fillId="0" borderId="0" xfId="0" applyFont="1" applyAlignment="1">
      <alignment horizontal="center"/>
    </xf>
    <xf numFmtId="0" fontId="28" fillId="0" borderId="8" xfId="569" applyFont="1" applyBorder="1" applyAlignment="1">
      <alignment vertical="top" wrapText="1"/>
    </xf>
    <xf numFmtId="0" fontId="28" fillId="0" borderId="0" xfId="569" applyFont="1" applyAlignment="1">
      <alignment vertical="top" wrapText="1"/>
    </xf>
    <xf numFmtId="0" fontId="53" fillId="2" borderId="11" xfId="569" applyFont="1" applyFill="1" applyBorder="1" applyAlignment="1">
      <alignment horizontal="left" vertical="top" wrapText="1"/>
    </xf>
    <xf numFmtId="6" fontId="51" fillId="4" borderId="11" xfId="569" applyNumberFormat="1" applyFont="1" applyFill="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6" fontId="51" fillId="0" borderId="11" xfId="569" applyNumberFormat="1" applyFont="1" applyBorder="1" applyAlignment="1">
      <alignment vertical="top" wrapText="1"/>
    </xf>
    <xf numFmtId="6" fontId="51" fillId="5" borderId="11" xfId="569" applyNumberFormat="1" applyFont="1" applyFill="1" applyBorder="1" applyAlignment="1" applyProtection="1">
      <alignment vertical="top" wrapText="1"/>
      <protection locked="0"/>
    </xf>
    <xf numFmtId="6" fontId="51" fillId="6" borderId="11" xfId="569" applyNumberFormat="1" applyFont="1" applyFill="1" applyBorder="1" applyAlignment="1">
      <alignment horizontal="center" vertical="top" wrapText="1"/>
    </xf>
    <xf numFmtId="0" fontId="51" fillId="0" borderId="11" xfId="569" applyFont="1" applyBorder="1" applyAlignment="1">
      <alignment horizontal="right" vertical="top" wrapText="1"/>
    </xf>
    <xf numFmtId="0" fontId="52" fillId="0" borderId="11" xfId="569" applyFont="1" applyBorder="1" applyAlignment="1">
      <alignment horizontal="right" vertical="top" wrapText="1"/>
    </xf>
    <xf numFmtId="0" fontId="51" fillId="0" borderId="11" xfId="569" applyFont="1" applyBorder="1" applyAlignment="1">
      <alignment horizontal="right" vertical="top"/>
    </xf>
    <xf numFmtId="6" fontId="52" fillId="0" borderId="11" xfId="569" applyNumberFormat="1" applyFont="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0" fontId="17" fillId="0" borderId="11" xfId="569" applyFont="1" applyBorder="1" applyAlignment="1">
      <alignment horizontal="right" vertical="top" wrapText="1"/>
    </xf>
    <xf numFmtId="0" fontId="52" fillId="0" borderId="0" xfId="569" applyFont="1" applyAlignment="1">
      <alignment horizontal="left" vertical="top"/>
    </xf>
    <xf numFmtId="6" fontId="51" fillId="0" borderId="0" xfId="569" applyNumberFormat="1" applyFont="1" applyAlignment="1">
      <alignment horizontal="left" vertical="top"/>
    </xf>
    <xf numFmtId="0" fontId="104" fillId="0" borderId="0" xfId="569" applyFont="1" applyAlignment="1">
      <alignment horizontal="left" vertical="top"/>
    </xf>
    <xf numFmtId="6" fontId="51" fillId="0" borderId="0" xfId="569" applyNumberFormat="1" applyFont="1" applyAlignment="1">
      <alignment vertical="top" wrapText="1"/>
    </xf>
    <xf numFmtId="0" fontId="51" fillId="0" borderId="0" xfId="569" applyFont="1" applyAlignment="1">
      <alignment horizontal="left" vertical="top"/>
    </xf>
    <xf numFmtId="0" fontId="51" fillId="0" borderId="12" xfId="569" applyFont="1" applyBorder="1" applyAlignment="1">
      <alignment vertical="top" wrapText="1"/>
    </xf>
    <xf numFmtId="0" fontId="21" fillId="0" borderId="0" xfId="569" applyFont="1" applyAlignment="1">
      <alignment horizontal="left" vertical="top"/>
    </xf>
    <xf numFmtId="0" fontId="107" fillId="0" borderId="0" xfId="569" applyFont="1" applyAlignment="1">
      <alignment horizontal="left" vertical="top"/>
    </xf>
    <xf numFmtId="0" fontId="62" fillId="0" borderId="0" xfId="569" applyFont="1" applyAlignment="1">
      <alignment horizontal="left" vertical="center"/>
    </xf>
    <xf numFmtId="0" fontId="29" fillId="0" borderId="0" xfId="569" applyFont="1" applyAlignment="1">
      <alignment vertical="top" wrapText="1"/>
    </xf>
    <xf numFmtId="0" fontId="29" fillId="0" borderId="12" xfId="569" applyFont="1" applyBorder="1" applyAlignment="1">
      <alignment vertical="top" wrapText="1"/>
    </xf>
    <xf numFmtId="0" fontId="29" fillId="0" borderId="8" xfId="569" applyFont="1" applyBorder="1" applyAlignment="1">
      <alignment vertical="top" wrapText="1"/>
    </xf>
    <xf numFmtId="0" fontId="51" fillId="0" borderId="0" xfId="569" applyFont="1" applyAlignment="1">
      <alignment vertical="top"/>
    </xf>
    <xf numFmtId="168" fontId="51" fillId="0" borderId="0" xfId="569" applyNumberFormat="1" applyFont="1" applyAlignment="1" applyProtection="1">
      <alignment horizontal="right" vertical="top" wrapText="1"/>
      <protection locked="0"/>
    </xf>
    <xf numFmtId="0" fontId="14" fillId="0" borderId="0" xfId="569" applyAlignment="1">
      <alignment vertical="top" wrapText="1"/>
    </xf>
    <xf numFmtId="0" fontId="14" fillId="0" borderId="0" xfId="569" applyAlignment="1">
      <alignment vertical="top"/>
    </xf>
    <xf numFmtId="0" fontId="51" fillId="0" borderId="0" xfId="569" applyFont="1" applyAlignment="1">
      <alignment horizontal="right" vertical="top" wrapText="1"/>
    </xf>
    <xf numFmtId="0" fontId="21" fillId="0" borderId="0" xfId="569" applyFont="1" applyAlignment="1">
      <alignment horizontal="left" vertical="top" wrapText="1"/>
    </xf>
    <xf numFmtId="168" fontId="51" fillId="0" borderId="0" xfId="569" applyNumberFormat="1" applyFont="1" applyAlignment="1">
      <alignment horizontal="right" vertical="top" wrapText="1"/>
    </xf>
    <xf numFmtId="0" fontId="14" fillId="0" borderId="0" xfId="569" applyAlignment="1" applyProtection="1">
      <alignment horizontal="left" vertical="top" wrapText="1"/>
      <protection locked="0"/>
    </xf>
    <xf numFmtId="0" fontId="14" fillId="0" borderId="0" xfId="569" applyAlignment="1">
      <alignment horizontal="right" vertical="top" wrapText="1"/>
    </xf>
    <xf numFmtId="0" fontId="14" fillId="0" borderId="0" xfId="569" applyAlignment="1">
      <alignment horizontal="left" vertical="top"/>
    </xf>
    <xf numFmtId="0" fontId="79" fillId="0" borderId="0" xfId="569" applyFont="1" applyAlignment="1">
      <alignment vertical="top" wrapText="1"/>
    </xf>
    <xf numFmtId="0" fontId="79" fillId="0" borderId="12" xfId="569" applyFont="1" applyBorder="1" applyAlignment="1">
      <alignment vertical="top" wrapText="1"/>
    </xf>
    <xf numFmtId="0" fontId="79" fillId="0" borderId="8" xfId="569" applyFont="1" applyBorder="1" applyAlignment="1">
      <alignment vertical="top" wrapText="1"/>
    </xf>
    <xf numFmtId="0" fontId="28" fillId="0" borderId="0" xfId="569" applyFont="1" applyAlignment="1">
      <alignment horizontal="right" vertical="top" wrapText="1"/>
    </xf>
    <xf numFmtId="0" fontId="79" fillId="0" borderId="0" xfId="569" applyFont="1" applyAlignment="1">
      <alignment horizontal="right" vertical="top" wrapText="1"/>
    </xf>
    <xf numFmtId="0" fontId="52" fillId="0" borderId="3" xfId="569" applyFont="1" applyBorder="1" applyAlignment="1">
      <alignment horizontal="left"/>
    </xf>
    <xf numFmtId="0" fontId="52" fillId="0" borderId="13" xfId="569" applyFont="1" applyBorder="1" applyAlignment="1">
      <alignment horizontal="center" wrapText="1"/>
    </xf>
    <xf numFmtId="0" fontId="52" fillId="0" borderId="8" xfId="569" applyFont="1" applyBorder="1" applyAlignment="1">
      <alignment horizontal="center" wrapText="1"/>
    </xf>
    <xf numFmtId="0" fontId="52" fillId="0" borderId="0" xfId="569" applyFont="1" applyAlignment="1">
      <alignment horizontal="center" wrapText="1"/>
    </xf>
    <xf numFmtId="0" fontId="14" fillId="0" borderId="0" xfId="569"/>
    <xf numFmtId="0" fontId="20" fillId="0" borderId="0" xfId="569" applyFont="1" applyAlignment="1">
      <alignment horizontal="center" vertical="center"/>
    </xf>
    <xf numFmtId="0" fontId="21" fillId="0" borderId="0" xfId="569" applyFont="1"/>
    <xf numFmtId="0" fontId="14" fillId="0" borderId="1" xfId="569" applyBorder="1"/>
    <xf numFmtId="0" fontId="14" fillId="0" borderId="2" xfId="569" applyBorder="1"/>
    <xf numFmtId="0" fontId="14" fillId="0" borderId="8" xfId="569" applyBorder="1"/>
    <xf numFmtId="0" fontId="14" fillId="0" borderId="9" xfId="569" applyBorder="1"/>
    <xf numFmtId="0" fontId="14" fillId="0" borderId="6" xfId="569" applyBorder="1"/>
    <xf numFmtId="0" fontId="22" fillId="0" borderId="0" xfId="569" applyFont="1"/>
    <xf numFmtId="0" fontId="14" fillId="0" borderId="7" xfId="569" applyBorder="1"/>
    <xf numFmtId="0" fontId="14" fillId="0" borderId="12" xfId="569" applyBorder="1"/>
    <xf numFmtId="0" fontId="14" fillId="0" borderId="10" xfId="569" applyBorder="1"/>
    <xf numFmtId="0" fontId="22" fillId="0" borderId="0" xfId="569" applyFont="1" applyAlignment="1">
      <alignment vertical="top" wrapText="1"/>
    </xf>
    <xf numFmtId="0" fontId="14" fillId="0" borderId="0" xfId="569" applyAlignment="1">
      <alignment horizontal="right"/>
    </xf>
    <xf numFmtId="0" fontId="14" fillId="0" borderId="0" xfId="569" applyAlignment="1">
      <alignment wrapText="1"/>
    </xf>
    <xf numFmtId="0" fontId="14" fillId="0" borderId="0" xfId="569" applyAlignment="1">
      <alignment vertical="center"/>
    </xf>
    <xf numFmtId="0" fontId="38" fillId="0" borderId="0" xfId="569" applyFont="1" applyAlignment="1">
      <alignment vertical="center" wrapText="1"/>
    </xf>
    <xf numFmtId="0" fontId="32" fillId="0" borderId="0" xfId="569" applyFont="1" applyAlignment="1">
      <alignment vertical="top" wrapText="1"/>
    </xf>
    <xf numFmtId="0" fontId="21" fillId="0" borderId="0" xfId="569" applyFont="1" applyAlignment="1">
      <alignment vertical="top" wrapText="1"/>
    </xf>
    <xf numFmtId="0" fontId="22" fillId="0" borderId="0" xfId="569" applyFont="1" applyAlignment="1">
      <alignment horizontal="left" vertical="top" wrapText="1"/>
    </xf>
    <xf numFmtId="164" fontId="14" fillId="0" borderId="0" xfId="569" applyNumberFormat="1" applyAlignment="1">
      <alignment horizontal="right"/>
    </xf>
    <xf numFmtId="168" fontId="14" fillId="0" borderId="0" xfId="569" applyNumberFormat="1" applyAlignment="1">
      <alignment horizontal="right"/>
    </xf>
    <xf numFmtId="0" fontId="105" fillId="0" borderId="0" xfId="569" applyFont="1" applyAlignment="1">
      <alignment horizontal="left" vertical="top" wrapText="1"/>
    </xf>
    <xf numFmtId="168" fontId="14" fillId="0" borderId="0" xfId="569" applyNumberFormat="1" applyAlignment="1">
      <alignment wrapText="1"/>
    </xf>
    <xf numFmtId="0" fontId="19" fillId="0" borderId="11" xfId="253" applyFont="1" applyBorder="1" applyAlignment="1">
      <alignment horizontal="center" wrapText="1"/>
    </xf>
    <xf numFmtId="0" fontId="19" fillId="0" borderId="0" xfId="253" applyFont="1" applyAlignment="1">
      <alignment horizontal="center" wrapText="1"/>
    </xf>
    <xf numFmtId="3" fontId="19" fillId="0" borderId="11" xfId="271" applyNumberFormat="1" applyFont="1" applyBorder="1"/>
    <xf numFmtId="3" fontId="19" fillId="0" borderId="0" xfId="271" applyNumberFormat="1" applyFont="1"/>
    <xf numFmtId="0" fontId="63" fillId="0" borderId="0" xfId="271" applyFont="1" applyAlignment="1">
      <alignment horizontal="left"/>
    </xf>
    <xf numFmtId="0" fontId="63" fillId="0" borderId="0" xfId="271" applyFont="1" applyAlignment="1">
      <alignment horizontal="right"/>
    </xf>
    <xf numFmtId="168" fontId="19" fillId="0" borderId="11" xfId="271" applyNumberFormat="1" applyFont="1" applyBorder="1"/>
    <xf numFmtId="168" fontId="19" fillId="0" borderId="0" xfId="271" applyNumberFormat="1" applyFont="1"/>
    <xf numFmtId="0" fontId="19" fillId="0" borderId="0" xfId="271" applyFont="1"/>
    <xf numFmtId="0" fontId="51" fillId="0" borderId="0" xfId="569" applyFont="1" applyAlignment="1">
      <alignment horizontal="left"/>
    </xf>
    <xf numFmtId="0" fontId="14" fillId="0" borderId="3" xfId="569" applyBorder="1"/>
    <xf numFmtId="0" fontId="0" fillId="5" borderId="6" xfId="0" applyFill="1" applyBorder="1" applyProtection="1">
      <protection locked="0"/>
    </xf>
    <xf numFmtId="0" fontId="106" fillId="0" borderId="0" xfId="1834"/>
    <xf numFmtId="0" fontId="0" fillId="0" borderId="0" xfId="0" applyAlignment="1">
      <alignment horizontal="left" vertical="top"/>
    </xf>
    <xf numFmtId="0" fontId="105" fillId="0" borderId="0" xfId="0" applyFont="1" applyAlignment="1">
      <alignment vertical="top" wrapText="1"/>
    </xf>
    <xf numFmtId="0" fontId="51" fillId="0" borderId="0" xfId="271" applyFont="1" applyAlignment="1">
      <alignment vertical="top" wrapText="1"/>
    </xf>
    <xf numFmtId="4" fontId="14" fillId="0" borderId="0" xfId="1192" applyNumberFormat="1" applyAlignment="1">
      <alignment horizontal="left" vertical="top" wrapText="1"/>
    </xf>
    <xf numFmtId="0" fontId="14" fillId="0" borderId="0" xfId="0" applyFont="1" applyAlignment="1">
      <alignment horizontal="left" vertical="top" wrapText="1"/>
    </xf>
    <xf numFmtId="0" fontId="14" fillId="0" borderId="0" xfId="271" applyFont="1" applyAlignment="1">
      <alignment horizontal="left" vertical="top" wrapText="1"/>
    </xf>
    <xf numFmtId="0" fontId="21" fillId="0" borderId="12" xfId="543" applyFont="1" applyBorder="1" applyAlignment="1">
      <alignment horizontal="right"/>
    </xf>
    <xf numFmtId="0" fontId="33" fillId="0" borderId="0" xfId="543" applyFont="1" applyAlignment="1">
      <alignment horizontal="center"/>
    </xf>
    <xf numFmtId="4" fontId="14" fillId="0" borderId="0" xfId="569" applyNumberFormat="1" applyAlignment="1">
      <alignment horizontal="left"/>
    </xf>
    <xf numFmtId="0" fontId="14" fillId="0" borderId="0" xfId="569" applyAlignment="1">
      <alignment horizontal="left" vertical="top" wrapText="1"/>
    </xf>
    <xf numFmtId="0" fontId="14" fillId="0" borderId="0" xfId="569" applyAlignment="1">
      <alignment horizontal="left"/>
    </xf>
    <xf numFmtId="0" fontId="14" fillId="0" borderId="0" xfId="1192" applyAlignment="1">
      <alignment horizontal="left"/>
    </xf>
    <xf numFmtId="0" fontId="21" fillId="0" borderId="0" xfId="569" applyFont="1" applyAlignment="1">
      <alignment horizontal="left"/>
    </xf>
    <xf numFmtId="0" fontId="43" fillId="0" borderId="0" xfId="1192" applyFont="1"/>
    <xf numFmtId="0" fontId="51" fillId="0" borderId="11" xfId="0" applyFont="1" applyBorder="1" applyAlignment="1">
      <alignment horizontal="right" vertical="center"/>
    </xf>
    <xf numFmtId="0" fontId="14" fillId="0" borderId="0" xfId="1192" applyAlignment="1">
      <alignment horizontal="left" vertical="top" wrapText="1"/>
    </xf>
    <xf numFmtId="0" fontId="43" fillId="0" borderId="0" xfId="0" applyFont="1" applyAlignment="1">
      <alignment vertical="top" wrapText="1"/>
    </xf>
    <xf numFmtId="0" fontId="43" fillId="0" borderId="0" xfId="0" applyFont="1" applyAlignment="1">
      <alignment horizontal="left" vertical="top" wrapText="1"/>
    </xf>
    <xf numFmtId="6" fontId="52" fillId="0" borderId="0" xfId="569" applyNumberFormat="1" applyFont="1" applyAlignment="1">
      <alignment horizontal="right" vertical="top"/>
    </xf>
    <xf numFmtId="0" fontId="14" fillId="0" borderId="0" xfId="0" applyFont="1" applyAlignment="1">
      <alignment vertical="top" wrapText="1"/>
    </xf>
    <xf numFmtId="168" fontId="23" fillId="0" borderId="0" xfId="0" applyNumberFormat="1" applyFont="1" applyAlignment="1">
      <alignment horizontal="right"/>
    </xf>
    <xf numFmtId="168" fontId="23" fillId="0" borderId="28" xfId="540" applyNumberFormat="1" applyBorder="1" applyAlignment="1" applyProtection="1">
      <alignment horizontal="center"/>
    </xf>
    <xf numFmtId="168" fontId="23" fillId="0" borderId="29" xfId="540" applyNumberFormat="1" applyBorder="1" applyAlignment="1" applyProtection="1">
      <alignment horizontal="center"/>
    </xf>
    <xf numFmtId="168" fontId="23" fillId="0" borderId="30" xfId="540" applyNumberFormat="1" applyBorder="1" applyAlignment="1" applyProtection="1">
      <alignment horizontal="center"/>
    </xf>
    <xf numFmtId="168" fontId="23" fillId="0" borderId="31" xfId="540" applyNumberFormat="1" applyBorder="1" applyAlignment="1" applyProtection="1">
      <alignment horizontal="center"/>
    </xf>
    <xf numFmtId="168" fontId="23" fillId="0" borderId="32" xfId="540" applyNumberFormat="1" applyBorder="1" applyAlignment="1" applyProtection="1">
      <alignment horizontal="center"/>
    </xf>
    <xf numFmtId="168" fontId="23" fillId="0" borderId="33" xfId="540" applyNumberFormat="1" applyBorder="1" applyAlignment="1" applyProtection="1">
      <alignment horizontal="center"/>
    </xf>
    <xf numFmtId="168" fontId="23" fillId="0" borderId="34" xfId="540" applyNumberFormat="1" applyBorder="1" applyAlignment="1" applyProtection="1">
      <alignment horizontal="center"/>
    </xf>
    <xf numFmtId="168" fontId="23" fillId="0" borderId="35" xfId="540" applyNumberFormat="1" applyBorder="1" applyAlignment="1" applyProtection="1">
      <alignment horizontal="center"/>
    </xf>
    <xf numFmtId="168" fontId="23" fillId="0" borderId="36" xfId="540" applyNumberFormat="1" applyBorder="1" applyAlignment="1" applyProtection="1">
      <alignment horizontal="center"/>
    </xf>
    <xf numFmtId="168" fontId="23" fillId="0" borderId="37" xfId="540" applyNumberFormat="1" applyBorder="1" applyAlignment="1" applyProtection="1">
      <alignment horizontal="center"/>
    </xf>
    <xf numFmtId="168" fontId="23" fillId="0" borderId="38" xfId="540" applyNumberFormat="1" applyBorder="1" applyAlignment="1" applyProtection="1">
      <alignment horizontal="center"/>
    </xf>
    <xf numFmtId="168" fontId="23" fillId="0" borderId="39" xfId="540" applyNumberFormat="1" applyBorder="1" applyAlignment="1" applyProtection="1">
      <alignment horizontal="center"/>
    </xf>
    <xf numFmtId="168" fontId="23" fillId="0" borderId="40" xfId="540" applyNumberFormat="1" applyBorder="1" applyAlignment="1" applyProtection="1">
      <alignment horizontal="center"/>
    </xf>
    <xf numFmtId="168" fontId="23" fillId="0" borderId="0" xfId="540" applyNumberFormat="1" applyAlignment="1" applyProtection="1">
      <alignment horizontal="center"/>
    </xf>
    <xf numFmtId="168" fontId="23" fillId="0" borderId="14" xfId="540" applyNumberFormat="1" applyBorder="1" applyAlignment="1" applyProtection="1">
      <alignment horizontal="center"/>
    </xf>
    <xf numFmtId="168" fontId="23" fillId="0" borderId="41" xfId="540" applyNumberFormat="1" applyBorder="1" applyAlignment="1" applyProtection="1">
      <alignment horizontal="center"/>
    </xf>
    <xf numFmtId="168" fontId="23" fillId="0" borderId="42" xfId="540" applyNumberFormat="1" applyBorder="1" applyAlignment="1" applyProtection="1">
      <alignment horizontal="center"/>
    </xf>
    <xf numFmtId="168" fontId="23" fillId="0" borderId="43" xfId="540" applyNumberFormat="1" applyBorder="1" applyAlignment="1" applyProtection="1">
      <alignment horizontal="center"/>
    </xf>
    <xf numFmtId="168" fontId="23" fillId="0" borderId="44" xfId="540" applyNumberFormat="1" applyBorder="1" applyAlignment="1" applyProtection="1">
      <alignment horizontal="center"/>
    </xf>
    <xf numFmtId="0" fontId="14" fillId="0" borderId="0" xfId="1192"/>
    <xf numFmtId="0" fontId="14" fillId="0" borderId="0" xfId="0" applyFont="1" applyAlignment="1">
      <alignment wrapText="1"/>
    </xf>
    <xf numFmtId="0" fontId="43" fillId="0" borderId="0" xfId="0" applyFont="1" applyAlignment="1">
      <alignment horizontal="left" vertical="top"/>
    </xf>
    <xf numFmtId="0" fontId="43" fillId="0" borderId="0" xfId="0" applyFont="1" applyAlignment="1">
      <alignment vertical="top"/>
    </xf>
    <xf numFmtId="0" fontId="14" fillId="0" borderId="0" xfId="569" applyAlignment="1">
      <alignment horizontal="center"/>
    </xf>
    <xf numFmtId="0" fontId="32" fillId="0" borderId="0" xfId="569" applyFont="1" applyAlignment="1">
      <alignment horizontal="left"/>
    </xf>
    <xf numFmtId="0" fontId="32" fillId="0" borderId="0" xfId="569" applyFont="1" applyAlignment="1">
      <alignment horizontal="center"/>
    </xf>
    <xf numFmtId="49" fontId="21" fillId="0" borderId="0" xfId="569" applyNumberFormat="1" applyFont="1" applyAlignment="1">
      <alignment horizontal="center"/>
    </xf>
    <xf numFmtId="0" fontId="49" fillId="0" borderId="0" xfId="569" applyFont="1" applyAlignment="1">
      <alignment horizontal="center"/>
    </xf>
    <xf numFmtId="0" fontId="14" fillId="5" borderId="6" xfId="569" applyFill="1" applyBorder="1" applyProtection="1">
      <protection locked="0"/>
    </xf>
    <xf numFmtId="0" fontId="15" fillId="0" borderId="0" xfId="244" applyAlignment="1" applyProtection="1">
      <alignment horizontal="center"/>
    </xf>
    <xf numFmtId="49" fontId="14" fillId="0" borderId="0" xfId="569" applyNumberFormat="1" applyAlignment="1">
      <alignment horizontal="center"/>
    </xf>
    <xf numFmtId="0" fontId="14" fillId="0" borderId="0" xfId="569" applyAlignment="1">
      <alignment horizontal="center" vertical="center"/>
    </xf>
    <xf numFmtId="0" fontId="14" fillId="0" borderId="0" xfId="1192" applyAlignment="1">
      <alignment horizontal="center"/>
    </xf>
    <xf numFmtId="0" fontId="21" fillId="0" borderId="0" xfId="569" applyFont="1" applyAlignment="1">
      <alignment horizontal="center"/>
    </xf>
    <xf numFmtId="0" fontId="14" fillId="0" borderId="0" xfId="569" applyAlignment="1">
      <alignment horizontal="left" indent="4"/>
    </xf>
    <xf numFmtId="0" fontId="14" fillId="0" borderId="0" xfId="569" quotePrefix="1" applyAlignment="1">
      <alignment horizontal="left"/>
    </xf>
    <xf numFmtId="0" fontId="32" fillId="0" borderId="0" xfId="569" applyFont="1"/>
    <xf numFmtId="0" fontId="14" fillId="0" borderId="0" xfId="1192" applyAlignment="1" applyProtection="1">
      <alignment horizontal="left"/>
      <protection locked="0"/>
    </xf>
    <xf numFmtId="0" fontId="14" fillId="0" borderId="0" xfId="569" applyAlignment="1" applyProtection="1">
      <alignment horizontal="left"/>
      <protection locked="0"/>
    </xf>
    <xf numFmtId="49" fontId="14" fillId="0" borderId="0" xfId="1192" applyNumberFormat="1" applyAlignment="1">
      <alignment horizontal="center"/>
    </xf>
    <xf numFmtId="0" fontId="49" fillId="0" borderId="0" xfId="1192" applyFont="1" applyAlignment="1">
      <alignment horizontal="center"/>
    </xf>
    <xf numFmtId="0" fontId="21" fillId="0" borderId="0" xfId="1192" applyFont="1" applyAlignment="1">
      <alignment horizontal="left"/>
    </xf>
    <xf numFmtId="4" fontId="14" fillId="0" borderId="0" xfId="1192" applyNumberFormat="1" applyAlignment="1">
      <alignment horizontal="left"/>
    </xf>
    <xf numFmtId="0" fontId="21" fillId="0" borderId="0" xfId="569" quotePrefix="1" applyFont="1" applyAlignment="1">
      <alignment horizontal="center"/>
    </xf>
    <xf numFmtId="49" fontId="14" fillId="0" borderId="0" xfId="569" applyNumberFormat="1"/>
    <xf numFmtId="0" fontId="46" fillId="0" borderId="0" xfId="569" applyFont="1" applyAlignment="1">
      <alignment horizontal="left"/>
    </xf>
    <xf numFmtId="4" fontId="49" fillId="0" borderId="0" xfId="569" applyNumberFormat="1" applyFont="1" applyAlignment="1">
      <alignment horizontal="center"/>
    </xf>
    <xf numFmtId="4" fontId="14" fillId="0" borderId="0" xfId="569" applyNumberFormat="1" applyAlignment="1">
      <alignment horizontal="center"/>
    </xf>
    <xf numFmtId="4" fontId="14" fillId="0" borderId="0" xfId="569" applyNumberFormat="1"/>
    <xf numFmtId="0" fontId="44" fillId="0" borderId="0" xfId="569" applyFont="1" applyAlignment="1">
      <alignment horizontal="left"/>
    </xf>
    <xf numFmtId="0" fontId="15" fillId="0" borderId="0" xfId="244" applyNumberFormat="1" applyFill="1" applyAlignment="1" applyProtection="1">
      <alignment horizontal="left"/>
      <protection locked="0"/>
    </xf>
    <xf numFmtId="0" fontId="51" fillId="0" borderId="11" xfId="0" applyFont="1" applyBorder="1" applyAlignment="1" applyProtection="1">
      <alignment horizontal="right" vertical="top" wrapText="1"/>
      <protection locked="0"/>
    </xf>
    <xf numFmtId="168" fontId="54" fillId="44" borderId="11" xfId="0" applyNumberFormat="1" applyFont="1" applyFill="1" applyBorder="1" applyAlignment="1">
      <alignment vertical="top" wrapText="1"/>
    </xf>
    <xf numFmtId="0" fontId="14" fillId="0" borderId="11" xfId="271" applyFont="1" applyBorder="1" applyAlignment="1">
      <alignment horizontal="right" vertical="top" wrapText="1"/>
    </xf>
    <xf numFmtId="0" fontId="22" fillId="0" borderId="0" xfId="569" applyFont="1" applyAlignment="1">
      <alignment horizontal="left"/>
    </xf>
    <xf numFmtId="0" fontId="103" fillId="0" borderId="0" xfId="0" applyFont="1"/>
    <xf numFmtId="0" fontId="114" fillId="0" borderId="0" xfId="0" applyFont="1" applyAlignment="1">
      <alignment horizontal="left" vertical="top"/>
    </xf>
    <xf numFmtId="0" fontId="115" fillId="0" borderId="0" xfId="0" applyFont="1" applyAlignment="1">
      <alignment horizontal="left" vertical="top"/>
    </xf>
    <xf numFmtId="168" fontId="22" fillId="0" borderId="0" xfId="0" applyNumberFormat="1" applyFont="1" applyAlignment="1">
      <alignment horizontal="left" vertical="top" wrapText="1"/>
    </xf>
    <xf numFmtId="168" fontId="51" fillId="5" borderId="11" xfId="0" applyNumberFormat="1" applyFont="1" applyFill="1" applyBorder="1" applyAlignment="1">
      <alignment vertical="top" wrapText="1"/>
    </xf>
    <xf numFmtId="0" fontId="14" fillId="0" borderId="0" xfId="271" applyFont="1" applyAlignment="1">
      <alignment horizontal="left" vertical="top"/>
    </xf>
    <xf numFmtId="0" fontId="51" fillId="0" borderId="0" xfId="569" applyFont="1"/>
    <xf numFmtId="0" fontId="14" fillId="0" borderId="0" xfId="0" applyFont="1" applyAlignment="1">
      <alignment horizontal="left" vertical="top"/>
    </xf>
    <xf numFmtId="4" fontId="14" fillId="0" borderId="0" xfId="1192" applyNumberFormat="1" applyAlignment="1">
      <alignment vertical="top" wrapText="1"/>
    </xf>
    <xf numFmtId="0" fontId="21" fillId="0" borderId="16" xfId="271" applyFont="1" applyBorder="1"/>
    <xf numFmtId="0" fontId="58" fillId="0" borderId="0" xfId="569" applyFont="1"/>
    <xf numFmtId="0" fontId="38" fillId="0" borderId="0" xfId="569" applyFont="1"/>
    <xf numFmtId="0" fontId="14" fillId="0" borderId="0" xfId="1192" applyAlignment="1">
      <alignment vertical="top" wrapText="1"/>
    </xf>
    <xf numFmtId="49" fontId="14" fillId="0" borderId="0" xfId="1192" applyNumberFormat="1" applyAlignment="1">
      <alignment vertical="top" wrapText="1"/>
    </xf>
    <xf numFmtId="0" fontId="53" fillId="0" borderId="9" xfId="543" applyFont="1" applyBorder="1" applyAlignment="1">
      <alignment vertical="top"/>
    </xf>
    <xf numFmtId="0" fontId="14" fillId="0" borderId="0" xfId="0" applyFont="1" applyAlignment="1">
      <alignment vertical="center"/>
    </xf>
    <xf numFmtId="0" fontId="116" fillId="0" borderId="0" xfId="0" applyFont="1"/>
    <xf numFmtId="3" fontId="103" fillId="0" borderId="0" xfId="0" applyNumberFormat="1" applyFont="1"/>
    <xf numFmtId="0" fontId="103" fillId="0" borderId="0" xfId="0" applyFont="1" applyAlignment="1">
      <alignment horizontal="left"/>
    </xf>
    <xf numFmtId="168" fontId="117" fillId="0" borderId="0" xfId="0" applyNumberFormat="1" applyFont="1" applyAlignment="1">
      <alignment horizontal="left" vertical="top"/>
    </xf>
    <xf numFmtId="0" fontId="103" fillId="0" borderId="0" xfId="0" applyFont="1" applyAlignment="1">
      <alignment horizontal="left" vertical="center"/>
    </xf>
    <xf numFmtId="0" fontId="119" fillId="0" borderId="0" xfId="0" applyFont="1"/>
    <xf numFmtId="172" fontId="14" fillId="0" borderId="8" xfId="543" applyNumberFormat="1" applyBorder="1"/>
    <xf numFmtId="0" fontId="14" fillId="0" borderId="8" xfId="4495" applyFont="1" applyBorder="1"/>
    <xf numFmtId="0" fontId="14" fillId="0" borderId="0" xfId="4495" applyFont="1"/>
    <xf numFmtId="0" fontId="20" fillId="0" borderId="0" xfId="4495" applyFont="1" applyAlignment="1">
      <alignment horizontal="center" vertical="center"/>
    </xf>
    <xf numFmtId="0" fontId="21" fillId="0" borderId="0" xfId="4495" applyFont="1" applyAlignment="1">
      <alignment horizontal="left"/>
    </xf>
    <xf numFmtId="0" fontId="21" fillId="0" borderId="0" xfId="4495" applyFont="1"/>
    <xf numFmtId="0" fontId="24" fillId="0" borderId="0" xfId="4495" applyFont="1" applyAlignment="1">
      <alignment horizontal="center" vertical="center"/>
    </xf>
    <xf numFmtId="0" fontId="24" fillId="0" borderId="27" xfId="4495" applyFont="1" applyBorder="1" applyAlignment="1">
      <alignment horizontal="center" vertical="center"/>
    </xf>
    <xf numFmtId="0" fontId="24" fillId="0" borderId="46" xfId="4495" applyFont="1" applyBorder="1" applyAlignment="1">
      <alignment horizontal="center" vertical="center"/>
    </xf>
    <xf numFmtId="0" fontId="21" fillId="0" borderId="0" xfId="4495" applyFont="1" applyAlignment="1">
      <alignment horizontal="right"/>
    </xf>
    <xf numFmtId="0" fontId="32" fillId="0" borderId="0" xfId="4495" applyFont="1" applyAlignment="1">
      <alignment horizontal="left" vertical="center"/>
    </xf>
    <xf numFmtId="0" fontId="14" fillId="0" borderId="0" xfId="1192" quotePrefix="1" applyAlignment="1">
      <alignment horizontal="center"/>
    </xf>
    <xf numFmtId="0" fontId="44" fillId="0" borderId="0" xfId="4495" applyFont="1" applyAlignment="1">
      <alignment horizontal="left" vertical="center"/>
    </xf>
    <xf numFmtId="49" fontId="22" fillId="0" borderId="0" xfId="4495" applyNumberFormat="1" applyFont="1" applyAlignment="1">
      <alignment horizontal="left" vertical="top"/>
    </xf>
    <xf numFmtId="0" fontId="14" fillId="0" borderId="47" xfId="4495" applyFont="1" applyBorder="1" applyAlignment="1">
      <alignment horizontal="left" vertical="center"/>
    </xf>
    <xf numFmtId="0" fontId="24" fillId="0" borderId="48" xfId="4495" applyFont="1" applyBorder="1" applyAlignment="1">
      <alignment horizontal="center" vertical="center"/>
    </xf>
    <xf numFmtId="0" fontId="22" fillId="0" borderId="0" xfId="4495" applyFont="1"/>
    <xf numFmtId="0" fontId="22" fillId="0" borderId="0" xfId="4495" applyFont="1" applyAlignment="1">
      <alignment horizontal="left" vertical="top"/>
    </xf>
    <xf numFmtId="0" fontId="121" fillId="0" borderId="53" xfId="4496" applyFont="1" applyBorder="1" applyAlignment="1">
      <alignment horizontal="left" vertical="top"/>
    </xf>
    <xf numFmtId="0" fontId="120" fillId="0" borderId="0" xfId="4496" applyFont="1" applyAlignment="1">
      <alignment horizontal="left" vertical="top" wrapText="1"/>
    </xf>
    <xf numFmtId="0" fontId="120" fillId="0" borderId="54" xfId="4496" applyFont="1" applyBorder="1" applyAlignment="1">
      <alignment horizontal="left" vertical="top" wrapText="1"/>
    </xf>
    <xf numFmtId="0" fontId="14" fillId="0" borderId="0" xfId="4495" applyFont="1" applyAlignment="1">
      <alignment horizontal="left" vertical="center"/>
    </xf>
    <xf numFmtId="0" fontId="122" fillId="0" borderId="0" xfId="4496" applyFont="1" applyAlignment="1">
      <alignment vertical="center"/>
    </xf>
    <xf numFmtId="0" fontId="120" fillId="0" borderId="0" xfId="4496" applyFont="1"/>
    <xf numFmtId="0" fontId="120" fillId="0" borderId="0" xfId="4496" applyFont="1" applyAlignment="1">
      <alignment vertical="center"/>
    </xf>
    <xf numFmtId="0" fontId="123" fillId="0" borderId="0" xfId="4496" applyFont="1" applyAlignment="1">
      <alignment vertical="center"/>
    </xf>
    <xf numFmtId="0" fontId="14" fillId="0" borderId="0" xfId="4496" applyFont="1" applyAlignment="1">
      <alignment vertical="center"/>
    </xf>
    <xf numFmtId="0" fontId="22" fillId="0" borderId="3" xfId="4495" applyFont="1" applyBorder="1" applyAlignment="1">
      <alignment vertical="top" wrapText="1"/>
    </xf>
    <xf numFmtId="0" fontId="22" fillId="0" borderId="4" xfId="4495" applyFont="1" applyBorder="1" applyAlignment="1">
      <alignment vertical="top" wrapText="1"/>
    </xf>
    <xf numFmtId="164" fontId="118" fillId="0" borderId="4" xfId="4495" applyNumberFormat="1" applyBorder="1" applyAlignment="1">
      <alignment horizontal="right"/>
    </xf>
    <xf numFmtId="0" fontId="22" fillId="0" borderId="4" xfId="4495" applyFont="1" applyBorder="1"/>
    <xf numFmtId="0" fontId="21" fillId="0" borderId="5" xfId="4495" applyFont="1" applyBorder="1" applyAlignment="1">
      <alignment horizontal="right"/>
    </xf>
    <xf numFmtId="0" fontId="14" fillId="0" borderId="16" xfId="4495" applyFont="1" applyBorder="1"/>
    <xf numFmtId="0" fontId="14" fillId="0" borderId="16" xfId="4495" applyFont="1" applyBorder="1" applyAlignment="1">
      <alignment horizontal="left" vertical="top"/>
    </xf>
    <xf numFmtId="0" fontId="22" fillId="0" borderId="16" xfId="4495" applyFont="1" applyBorder="1" applyAlignment="1">
      <alignment horizontal="left" vertical="top" wrapText="1"/>
    </xf>
    <xf numFmtId="0" fontId="22" fillId="0" borderId="45" xfId="4495" applyFont="1" applyBorder="1" applyAlignment="1">
      <alignment horizontal="left" vertical="top" wrapText="1"/>
    </xf>
    <xf numFmtId="0" fontId="118" fillId="0" borderId="0" xfId="4495"/>
    <xf numFmtId="0" fontId="15" fillId="0" borderId="0" xfId="244" applyFill="1" applyBorder="1" applyAlignment="1" applyProtection="1">
      <alignment horizontal="left" vertical="top"/>
    </xf>
    <xf numFmtId="0" fontId="15" fillId="0" borderId="0" xfId="244" applyFill="1" applyBorder="1" applyAlignment="1" applyProtection="1">
      <alignment horizontal="left" vertical="top" wrapText="1"/>
    </xf>
    <xf numFmtId="0" fontId="22" fillId="0" borderId="0" xfId="4495" applyFont="1" applyAlignment="1">
      <alignment horizontal="left" vertical="top" wrapText="1"/>
    </xf>
    <xf numFmtId="0" fontId="22" fillId="0" borderId="0" xfId="4495" applyFont="1" applyAlignment="1">
      <alignment horizontal="right" vertical="top"/>
    </xf>
    <xf numFmtId="0" fontId="14" fillId="0" borderId="0" xfId="4495" applyFont="1" applyAlignment="1">
      <alignment vertical="center" wrapText="1"/>
    </xf>
    <xf numFmtId="0" fontId="120" fillId="0" borderId="53" xfId="4496" applyFont="1" applyBorder="1" applyAlignment="1">
      <alignment vertical="top" wrapText="1"/>
    </xf>
    <xf numFmtId="0" fontId="120" fillId="0" borderId="0" xfId="4496" applyFont="1" applyAlignment="1">
      <alignment vertical="top" wrapText="1"/>
    </xf>
    <xf numFmtId="10" fontId="120" fillId="0" borderId="0" xfId="4496" applyNumberFormat="1" applyFont="1" applyAlignment="1">
      <alignment vertical="top" wrapText="1"/>
    </xf>
    <xf numFmtId="0" fontId="120" fillId="0" borderId="54" xfId="4496" applyFont="1" applyBorder="1" applyAlignment="1">
      <alignment vertical="top" wrapText="1"/>
    </xf>
    <xf numFmtId="0" fontId="120" fillId="0" borderId="0" xfId="4496" applyFont="1" applyAlignment="1">
      <alignment vertical="top"/>
    </xf>
    <xf numFmtId="165" fontId="120" fillId="0" borderId="0" xfId="4496" applyNumberFormat="1" applyFont="1" applyAlignment="1">
      <alignment vertical="top" wrapText="1"/>
    </xf>
    <xf numFmtId="0" fontId="21" fillId="0" borderId="57" xfId="4495" applyFont="1" applyBorder="1"/>
    <xf numFmtId="0" fontId="21" fillId="0" borderId="58" xfId="4495" applyFont="1" applyBorder="1"/>
    <xf numFmtId="0" fontId="21" fillId="0" borderId="58" xfId="4495" applyFont="1" applyBorder="1" applyAlignment="1">
      <alignment horizontal="right"/>
    </xf>
    <xf numFmtId="0" fontId="21" fillId="0" borderId="59" xfId="4495" applyFont="1" applyBorder="1" applyAlignment="1">
      <alignment horizontal="right"/>
    </xf>
    <xf numFmtId="0" fontId="120" fillId="0" borderId="53" xfId="4496" applyFont="1" applyBorder="1" applyAlignment="1">
      <alignment horizontal="left" vertical="top" wrapText="1"/>
    </xf>
    <xf numFmtId="0" fontId="120" fillId="0" borderId="0" xfId="4496" applyFont="1" applyAlignment="1">
      <alignment horizontal="left" vertical="top"/>
    </xf>
    <xf numFmtId="0" fontId="24" fillId="0" borderId="57" xfId="4495" applyFont="1" applyBorder="1" applyAlignment="1">
      <alignment horizontal="center" vertical="center"/>
    </xf>
    <xf numFmtId="0" fontId="24" fillId="0" borderId="58" xfId="4495" applyFont="1" applyBorder="1" applyAlignment="1">
      <alignment horizontal="center" vertical="center"/>
    </xf>
    <xf numFmtId="0" fontId="24" fillId="0" borderId="59" xfId="4495" applyFont="1" applyBorder="1" applyAlignment="1">
      <alignment horizontal="center" vertical="center"/>
    </xf>
    <xf numFmtId="0" fontId="21" fillId="0" borderId="0" xfId="4495" applyFont="1" applyAlignment="1">
      <alignment horizontal="center"/>
    </xf>
    <xf numFmtId="0" fontId="21" fillId="0" borderId="8" xfId="4495" applyFont="1" applyBorder="1"/>
    <xf numFmtId="0" fontId="22" fillId="0" borderId="0" xfId="4495" applyFont="1" applyAlignment="1">
      <alignment horizontal="left"/>
    </xf>
    <xf numFmtId="0" fontId="21" fillId="0" borderId="0" xfId="4495" applyFont="1" applyAlignment="1">
      <alignment horizontal="center" vertical="top"/>
    </xf>
    <xf numFmtId="0" fontId="14" fillId="0" borderId="0" xfId="4495" applyFont="1" applyAlignment="1">
      <alignment horizontal="center"/>
    </xf>
    <xf numFmtId="0" fontId="30" fillId="0" borderId="0" xfId="4495" applyFont="1"/>
    <xf numFmtId="0" fontId="22" fillId="0" borderId="8" xfId="4495" applyFont="1" applyBorder="1"/>
    <xf numFmtId="0" fontId="51" fillId="0" borderId="8" xfId="4495" applyFont="1" applyBorder="1"/>
    <xf numFmtId="1" fontId="14" fillId="0" borderId="0" xfId="1192" applyNumberFormat="1"/>
    <xf numFmtId="0" fontId="14" fillId="0" borderId="3" xfId="4495" applyFont="1" applyBorder="1"/>
    <xf numFmtId="0" fontId="14" fillId="0" borderId="4" xfId="4495" applyFont="1" applyBorder="1"/>
    <xf numFmtId="0" fontId="14" fillId="0" borderId="0" xfId="1192" applyAlignment="1">
      <alignment wrapText="1"/>
    </xf>
    <xf numFmtId="0" fontId="22" fillId="0" borderId="0" xfId="4495" applyFont="1" applyAlignment="1">
      <alignment vertical="top" wrapText="1"/>
    </xf>
    <xf numFmtId="0" fontId="22" fillId="0" borderId="0" xfId="1192" applyFont="1"/>
    <xf numFmtId="0" fontId="14" fillId="0" borderId="0" xfId="4495" applyFont="1" applyAlignment="1">
      <alignment horizontal="left"/>
    </xf>
    <xf numFmtId="0" fontId="22" fillId="0" borderId="3" xfId="4495" applyFont="1" applyBorder="1"/>
    <xf numFmtId="0" fontId="14" fillId="0" borderId="4" xfId="4495" applyFont="1" applyBorder="1" applyAlignment="1">
      <alignment horizontal="right"/>
    </xf>
    <xf numFmtId="1" fontId="14" fillId="0" borderId="0" xfId="4495" applyNumberFormat="1" applyFont="1" applyAlignment="1">
      <alignment horizontal="center"/>
    </xf>
    <xf numFmtId="0" fontId="51" fillId="0" borderId="0" xfId="4495" applyFont="1"/>
    <xf numFmtId="0" fontId="14" fillId="0" borderId="0" xfId="4495" applyFont="1" applyAlignment="1">
      <alignment horizontal="right"/>
    </xf>
    <xf numFmtId="0" fontId="22" fillId="0" borderId="0" xfId="4495" applyFont="1" applyAlignment="1">
      <alignment vertical="top"/>
    </xf>
    <xf numFmtId="0" fontId="22" fillId="0" borderId="27" xfId="4495" applyFont="1" applyBorder="1"/>
    <xf numFmtId="0" fontId="21" fillId="0" borderId="0" xfId="4495" applyFont="1" applyAlignment="1">
      <alignment vertical="top"/>
    </xf>
    <xf numFmtId="0" fontId="32" fillId="0" borderId="0" xfId="4495" applyFont="1" applyAlignment="1">
      <alignment vertical="top" wrapText="1"/>
    </xf>
    <xf numFmtId="0" fontId="21" fillId="0" borderId="0" xfId="4495" applyFont="1" applyAlignment="1">
      <alignment horizontal="left" vertical="top" wrapText="1"/>
    </xf>
    <xf numFmtId="0" fontId="14" fillId="0" borderId="0" xfId="4495" applyFont="1" applyAlignment="1">
      <alignment horizontal="left" vertical="top"/>
    </xf>
    <xf numFmtId="0" fontId="32" fillId="0" borderId="0" xfId="4495" applyFont="1" applyAlignment="1">
      <alignment vertical="top"/>
    </xf>
    <xf numFmtId="0" fontId="14" fillId="0" borderId="10" xfId="4495" applyFont="1" applyBorder="1" applyAlignment="1">
      <alignment horizontal="center"/>
    </xf>
    <xf numFmtId="0" fontId="14" fillId="0" borderId="16" xfId="4495" applyFont="1" applyBorder="1" applyAlignment="1">
      <alignment horizontal="center"/>
    </xf>
    <xf numFmtId="0" fontId="30" fillId="0" borderId="16" xfId="4495" applyFont="1" applyBorder="1"/>
    <xf numFmtId="0" fontId="22" fillId="0" borderId="16" xfId="4495" applyFont="1" applyBorder="1"/>
    <xf numFmtId="0" fontId="14" fillId="0" borderId="0" xfId="4496" applyFont="1" applyAlignment="1">
      <alignment vertical="top" wrapText="1"/>
    </xf>
    <xf numFmtId="0" fontId="21" fillId="0" borderId="0" xfId="1192" applyFont="1" applyAlignment="1">
      <alignment horizontal="right"/>
    </xf>
    <xf numFmtId="0" fontId="14" fillId="0" borderId="0" xfId="4496" applyFont="1"/>
    <xf numFmtId="0" fontId="14" fillId="0" borderId="0" xfId="4496" applyFont="1" applyAlignment="1">
      <alignment horizontal="left"/>
    </xf>
    <xf numFmtId="0" fontId="14" fillId="0" borderId="0" xfId="4496" applyFont="1" applyAlignment="1">
      <alignment horizontal="right"/>
    </xf>
    <xf numFmtId="0" fontId="22" fillId="0" borderId="0" xfId="4496" applyFont="1" applyAlignment="1">
      <alignment vertical="top" wrapText="1"/>
    </xf>
    <xf numFmtId="0" fontId="14" fillId="0" borderId="4" xfId="4496" applyFont="1" applyBorder="1"/>
    <xf numFmtId="0" fontId="21" fillId="0" borderId="4" xfId="4496" applyFont="1" applyBorder="1" applyAlignment="1">
      <alignment horizontal="right"/>
    </xf>
    <xf numFmtId="0" fontId="22" fillId="0" borderId="27" xfId="4495" applyFont="1" applyBorder="1" applyAlignment="1">
      <alignment horizontal="left" vertical="top"/>
    </xf>
    <xf numFmtId="0" fontId="14" fillId="0" borderId="27" xfId="4495" applyFont="1" applyBorder="1" applyAlignment="1">
      <alignment horizontal="left" vertical="top"/>
    </xf>
    <xf numFmtId="0" fontId="21" fillId="0" borderId="27" xfId="4495" applyFont="1" applyBorder="1" applyAlignment="1">
      <alignment horizontal="right"/>
    </xf>
    <xf numFmtId="0" fontId="14" fillId="0" borderId="27" xfId="4495" applyFont="1" applyBorder="1" applyAlignment="1">
      <alignment horizontal="center"/>
    </xf>
    <xf numFmtId="0" fontId="14" fillId="0" borderId="46" xfId="4495" applyFont="1" applyBorder="1" applyAlignment="1">
      <alignment horizontal="center"/>
    </xf>
    <xf numFmtId="164" fontId="22" fillId="0" borderId="0" xfId="4495" applyNumberFormat="1" applyFont="1" applyAlignment="1">
      <alignment horizontal="left" vertical="top" wrapText="1"/>
    </xf>
    <xf numFmtId="0" fontId="25" fillId="0" borderId="0" xfId="4495" applyFont="1"/>
    <xf numFmtId="0" fontId="22" fillId="0" borderId="0" xfId="4495" applyFont="1" applyAlignment="1">
      <alignment horizontal="right"/>
    </xf>
    <xf numFmtId="0" fontId="14" fillId="0" borderId="27" xfId="543" applyBorder="1"/>
    <xf numFmtId="0" fontId="14" fillId="0" borderId="46" xfId="543" applyBorder="1"/>
    <xf numFmtId="0" fontId="21" fillId="0" borderId="0" xfId="4495" applyFont="1" applyAlignment="1">
      <alignment horizontal="left" vertical="top"/>
    </xf>
    <xf numFmtId="1" fontId="118" fillId="0" borderId="0" xfId="4495" applyNumberFormat="1"/>
    <xf numFmtId="0" fontId="14" fillId="0" borderId="0" xfId="4495" applyFont="1" applyAlignment="1">
      <alignment vertical="top" wrapText="1"/>
    </xf>
    <xf numFmtId="0" fontId="14" fillId="0" borderId="0" xfId="4495" applyFont="1" applyAlignment="1">
      <alignment horizontal="left" vertical="top" wrapText="1"/>
    </xf>
    <xf numFmtId="0" fontId="14" fillId="0" borderId="50" xfId="4495" applyFont="1" applyBorder="1" applyAlignment="1">
      <alignment vertical="top"/>
    </xf>
    <xf numFmtId="0" fontId="14" fillId="0" borderId="51" xfId="4495" applyFont="1" applyBorder="1" applyAlignment="1">
      <alignment vertical="top"/>
    </xf>
    <xf numFmtId="0" fontId="14" fillId="0" borderId="52" xfId="4495" applyFont="1" applyBorder="1" applyAlignment="1">
      <alignment vertical="top"/>
    </xf>
    <xf numFmtId="1" fontId="22" fillId="0" borderId="8" xfId="4495" applyNumberFormat="1" applyFont="1" applyBorder="1"/>
    <xf numFmtId="0" fontId="14" fillId="0" borderId="0" xfId="543" applyAlignment="1">
      <alignment vertical="top"/>
    </xf>
    <xf numFmtId="0" fontId="22" fillId="0" borderId="51" xfId="4495" applyFont="1" applyBorder="1" applyAlignment="1">
      <alignment horizontal="left" vertical="top"/>
    </xf>
    <xf numFmtId="0" fontId="22" fillId="0" borderId="52" xfId="4495" applyFont="1" applyBorder="1" applyAlignment="1">
      <alignment horizontal="left" vertical="top"/>
    </xf>
    <xf numFmtId="0" fontId="118" fillId="0" borderId="0" xfId="4495" applyAlignment="1" applyProtection="1">
      <alignment horizontal="center"/>
      <protection locked="0"/>
    </xf>
    <xf numFmtId="0" fontId="14" fillId="0" borderId="53" xfId="4495" applyFont="1" applyBorder="1" applyAlignment="1">
      <alignment vertical="top"/>
    </xf>
    <xf numFmtId="0" fontId="14" fillId="0" borderId="54" xfId="4495" applyFont="1" applyBorder="1" applyAlignment="1">
      <alignment vertical="top" wrapText="1"/>
    </xf>
    <xf numFmtId="0" fontId="59" fillId="0" borderId="53" xfId="4495" applyFont="1" applyBorder="1"/>
    <xf numFmtId="0" fontId="22" fillId="0" borderId="54" xfId="4495" applyFont="1" applyBorder="1" applyAlignment="1">
      <alignment horizontal="left" vertical="top"/>
    </xf>
    <xf numFmtId="0" fontId="14" fillId="0" borderId="53" xfId="4495" applyFont="1" applyBorder="1" applyAlignment="1">
      <alignment vertical="center" wrapText="1"/>
    </xf>
    <xf numFmtId="0" fontId="59" fillId="0" borderId="57" xfId="4495" applyFont="1" applyBorder="1"/>
    <xf numFmtId="0" fontId="22" fillId="0" borderId="58" xfId="4495" applyFont="1" applyBorder="1" applyAlignment="1">
      <alignment horizontal="left" vertical="top"/>
    </xf>
    <xf numFmtId="0" fontId="22" fillId="0" borderId="12" xfId="4495" applyFont="1" applyBorder="1"/>
    <xf numFmtId="0" fontId="14" fillId="0" borderId="57" xfId="4495" applyFont="1" applyBorder="1" applyAlignment="1">
      <alignment vertical="center"/>
    </xf>
    <xf numFmtId="0" fontId="14" fillId="0" borderId="58" xfId="4495" applyFont="1" applyBorder="1" applyAlignment="1">
      <alignment vertical="top"/>
    </xf>
    <xf numFmtId="0" fontId="14" fillId="0" borderId="59" xfId="4495" applyFont="1" applyBorder="1" applyAlignment="1">
      <alignment vertical="top"/>
    </xf>
    <xf numFmtId="0" fontId="14" fillId="0" borderId="0" xfId="4495" applyFont="1" applyAlignment="1">
      <alignment vertical="top"/>
    </xf>
    <xf numFmtId="0" fontId="22" fillId="0" borderId="4" xfId="4495" applyFont="1" applyBorder="1" applyAlignment="1">
      <alignment horizontal="left" vertical="top"/>
    </xf>
    <xf numFmtId="0" fontId="14" fillId="0" borderId="4" xfId="4495" applyFont="1" applyBorder="1" applyAlignment="1">
      <alignment horizontal="left" vertical="top"/>
    </xf>
    <xf numFmtId="0" fontId="14" fillId="0" borderId="2" xfId="4495" applyFont="1" applyBorder="1"/>
    <xf numFmtId="0" fontId="22" fillId="0" borderId="2" xfId="4495" applyFont="1" applyBorder="1"/>
    <xf numFmtId="0" fontId="14" fillId="0" borderId="2" xfId="4495" applyFont="1" applyBorder="1" applyAlignment="1">
      <alignment horizontal="center"/>
    </xf>
    <xf numFmtId="0" fontId="22" fillId="0" borderId="7" xfId="4495" applyFont="1" applyBorder="1"/>
    <xf numFmtId="0" fontId="30" fillId="0" borderId="0" xfId="4495" applyFont="1" applyAlignment="1">
      <alignment horizontal="right"/>
    </xf>
    <xf numFmtId="0" fontId="124" fillId="0" borderId="0" xfId="4495" applyFont="1" applyAlignment="1">
      <alignment horizontal="left" vertical="top" wrapText="1"/>
    </xf>
    <xf numFmtId="0" fontId="30" fillId="0" borderId="0" xfId="4495" applyFont="1" applyAlignment="1">
      <alignment horizontal="left" vertical="top"/>
    </xf>
    <xf numFmtId="0" fontId="22" fillId="0" borderId="0" xfId="4495" quotePrefix="1" applyFont="1" applyAlignment="1">
      <alignment horizontal="right"/>
    </xf>
    <xf numFmtId="0" fontId="14" fillId="0" borderId="0" xfId="4497"/>
    <xf numFmtId="0" fontId="22" fillId="0" borderId="0" xfId="4495" applyFont="1" applyAlignment="1">
      <alignment horizontal="left" vertical="top" wrapText="1" shrinkToFit="1"/>
    </xf>
    <xf numFmtId="0" fontId="118" fillId="0" borderId="0" xfId="4495" applyAlignment="1">
      <alignment vertical="top" wrapText="1"/>
    </xf>
    <xf numFmtId="0" fontId="22" fillId="0" borderId="4" xfId="4495" applyFont="1" applyBorder="1" applyAlignment="1">
      <alignment horizontal="left" vertical="top" wrapText="1" shrinkToFit="1"/>
    </xf>
    <xf numFmtId="0" fontId="30" fillId="0" borderId="8" xfId="4495" applyFont="1" applyBorder="1"/>
    <xf numFmtId="0" fontId="22" fillId="0" borderId="0" xfId="4495" applyFont="1" applyAlignment="1">
      <alignment horizontal="center"/>
    </xf>
    <xf numFmtId="0" fontId="22" fillId="0" borderId="0" xfId="4495" quotePrefix="1" applyFont="1"/>
    <xf numFmtId="0" fontId="22" fillId="0" borderId="0" xfId="4495" applyFont="1" applyAlignment="1">
      <alignment horizontal="left" vertical="top" shrinkToFit="1"/>
    </xf>
    <xf numFmtId="0" fontId="44" fillId="0" borderId="0" xfId="4495" applyFont="1"/>
    <xf numFmtId="0" fontId="22" fillId="0" borderId="3" xfId="4495" applyFont="1" applyBorder="1" applyAlignment="1">
      <alignment horizontal="center"/>
    </xf>
    <xf numFmtId="0" fontId="118" fillId="0" borderId="8" xfId="4495" applyBorder="1"/>
    <xf numFmtId="0" fontId="21" fillId="0" borderId="8" xfId="4495" applyFont="1" applyBorder="1" applyAlignment="1">
      <alignment vertical="top"/>
    </xf>
    <xf numFmtId="0" fontId="118" fillId="0" borderId="0" xfId="4495" applyAlignment="1">
      <alignment vertical="top"/>
    </xf>
    <xf numFmtId="0" fontId="21" fillId="0" borderId="4" xfId="4495" applyFont="1" applyBorder="1" applyAlignment="1">
      <alignment horizontal="center" vertical="top"/>
    </xf>
    <xf numFmtId="0" fontId="124" fillId="0" borderId="0" xfId="4495" applyFont="1" applyAlignment="1">
      <alignment horizontal="left" vertical="top"/>
    </xf>
    <xf numFmtId="0" fontId="124" fillId="0" borderId="4" xfId="4495" applyFont="1" applyBorder="1" applyAlignment="1">
      <alignment horizontal="left" vertical="top"/>
    </xf>
    <xf numFmtId="168" fontId="14" fillId="0" borderId="0" xfId="4497" applyNumberFormat="1"/>
    <xf numFmtId="1" fontId="22" fillId="0" borderId="0" xfId="4495" applyNumberFormat="1" applyFont="1" applyAlignment="1">
      <alignment horizontal="center" vertical="top"/>
    </xf>
    <xf numFmtId="0" fontId="128" fillId="0" borderId="0" xfId="4495" applyFont="1" applyAlignment="1">
      <alignment vertical="top" wrapText="1"/>
    </xf>
    <xf numFmtId="0" fontId="128" fillId="0" borderId="0" xfId="4495" applyFont="1" applyAlignment="1">
      <alignment horizontal="left" vertical="top" wrapText="1"/>
    </xf>
    <xf numFmtId="0" fontId="22" fillId="0" borderId="6" xfId="4495" applyFont="1" applyBorder="1"/>
    <xf numFmtId="1" fontId="22" fillId="0" borderId="8" xfId="4495" applyNumberFormat="1" applyFont="1" applyBorder="1" applyAlignment="1">
      <alignment horizontal="center" vertical="top"/>
    </xf>
    <xf numFmtId="0" fontId="118" fillId="0" borderId="12" xfId="4495" applyBorder="1"/>
    <xf numFmtId="0" fontId="22" fillId="0" borderId="9" xfId="4495" applyFont="1" applyBorder="1"/>
    <xf numFmtId="0" fontId="118" fillId="0" borderId="10" xfId="4495" applyBorder="1"/>
    <xf numFmtId="0" fontId="30" fillId="0" borderId="3" xfId="4495" applyFont="1" applyBorder="1"/>
    <xf numFmtId="0" fontId="21" fillId="0" borderId="4" xfId="4495" applyFont="1" applyBorder="1"/>
    <xf numFmtId="0" fontId="118" fillId="0" borderId="12" xfId="4495" applyBorder="1" applyAlignment="1">
      <alignment vertical="top"/>
    </xf>
    <xf numFmtId="0" fontId="30" fillId="0" borderId="1" xfId="4495" applyFont="1" applyBorder="1"/>
    <xf numFmtId="0" fontId="128" fillId="0" borderId="2" xfId="4495" applyFont="1" applyBorder="1" applyAlignment="1">
      <alignment horizontal="left" wrapText="1"/>
    </xf>
    <xf numFmtId="0" fontId="128" fillId="0" borderId="2" xfId="4495" applyFont="1" applyBorder="1" applyAlignment="1">
      <alignment horizontal="left"/>
    </xf>
    <xf numFmtId="0" fontId="128" fillId="0" borderId="7" xfId="4495" applyFont="1" applyBorder="1" applyAlignment="1">
      <alignment horizontal="left" wrapText="1"/>
    </xf>
    <xf numFmtId="0" fontId="128" fillId="0" borderId="0" xfId="4495" applyFont="1" applyAlignment="1">
      <alignment horizontal="left" wrapText="1"/>
    </xf>
    <xf numFmtId="0" fontId="30" fillId="0" borderId="9" xfId="4495" applyFont="1" applyBorder="1"/>
    <xf numFmtId="0" fontId="22" fillId="0" borderId="10" xfId="4495" applyFont="1" applyBorder="1"/>
    <xf numFmtId="0" fontId="128" fillId="0" borderId="0" xfId="4495" applyFont="1" applyAlignment="1">
      <alignment wrapText="1"/>
    </xf>
    <xf numFmtId="0" fontId="30" fillId="0" borderId="9" xfId="4495" applyFont="1" applyBorder="1" applyAlignment="1">
      <alignment horizontal="center"/>
    </xf>
    <xf numFmtId="0" fontId="21" fillId="0" borderId="10" xfId="4495" applyFont="1" applyBorder="1"/>
    <xf numFmtId="0" fontId="32" fillId="0" borderId="0" xfId="4495" applyFont="1"/>
    <xf numFmtId="0" fontId="22" fillId="0" borderId="50" xfId="4495" applyFont="1" applyBorder="1"/>
    <xf numFmtId="0" fontId="22" fillId="0" borderId="51" xfId="4495" applyFont="1" applyBorder="1"/>
    <xf numFmtId="1" fontId="22" fillId="0" borderId="51" xfId="4495" quotePrefix="1" applyNumberFormat="1" applyFont="1" applyBorder="1" applyAlignment="1">
      <alignment horizontal="center" vertical="top"/>
    </xf>
    <xf numFmtId="0" fontId="21" fillId="0" borderId="51" xfId="4495" applyFont="1" applyBorder="1"/>
    <xf numFmtId="0" fontId="21" fillId="0" borderId="52" xfId="4495" applyFont="1" applyBorder="1" applyAlignment="1">
      <alignment horizontal="center"/>
    </xf>
    <xf numFmtId="0" fontId="14" fillId="0" borderId="53" xfId="4495" applyFont="1" applyBorder="1"/>
    <xf numFmtId="1" fontId="22" fillId="0" borderId="0" xfId="4495" quotePrefix="1" applyNumberFormat="1" applyFont="1" applyAlignment="1">
      <alignment horizontal="center" vertical="top"/>
    </xf>
    <xf numFmtId="0" fontId="21" fillId="0" borderId="54" xfId="4495" applyFont="1" applyBorder="1" applyAlignment="1">
      <alignment horizontal="center"/>
    </xf>
    <xf numFmtId="0" fontId="30" fillId="0" borderId="0" xfId="4495" applyFont="1" applyAlignment="1">
      <alignment vertical="top"/>
    </xf>
    <xf numFmtId="0" fontId="22" fillId="0" borderId="61" xfId="4495" applyFont="1" applyBorder="1"/>
    <xf numFmtId="0" fontId="118" fillId="0" borderId="58" xfId="4495" applyBorder="1" applyAlignment="1">
      <alignment horizontal="center"/>
    </xf>
    <xf numFmtId="1" fontId="22" fillId="0" borderId="58" xfId="4495" quotePrefix="1" applyNumberFormat="1" applyFont="1" applyBorder="1" applyAlignment="1">
      <alignment horizontal="center" vertical="top"/>
    </xf>
    <xf numFmtId="0" fontId="30" fillId="0" borderId="58" xfId="4495" applyFont="1" applyBorder="1" applyAlignment="1">
      <alignment vertical="top"/>
    </xf>
    <xf numFmtId="0" fontId="22" fillId="0" borderId="58" xfId="4495" applyFont="1" applyBorder="1" applyAlignment="1">
      <alignment vertical="top" wrapText="1"/>
    </xf>
    <xf numFmtId="0" fontId="22" fillId="0" borderId="58" xfId="4495" applyFont="1" applyBorder="1"/>
    <xf numFmtId="0" fontId="21" fillId="0" borderId="58" xfId="4495" applyFont="1" applyBorder="1" applyAlignment="1">
      <alignment horizontal="center"/>
    </xf>
    <xf numFmtId="0" fontId="118" fillId="0" borderId="61" xfId="4495" applyBorder="1"/>
    <xf numFmtId="0" fontId="118" fillId="0" borderId="0" xfId="4495" applyAlignment="1">
      <alignment horizontal="center"/>
    </xf>
    <xf numFmtId="0" fontId="14" fillId="0" borderId="53" xfId="543" applyBorder="1"/>
    <xf numFmtId="0" fontId="22" fillId="0" borderId="54" xfId="4495" applyFont="1" applyBorder="1"/>
    <xf numFmtId="0" fontId="14" fillId="0" borderId="58" xfId="543" applyBorder="1"/>
    <xf numFmtId="1" fontId="22" fillId="0" borderId="58" xfId="4495" applyNumberFormat="1" applyFont="1" applyBorder="1" applyAlignment="1">
      <alignment horizontal="center" vertical="top"/>
    </xf>
    <xf numFmtId="0" fontId="30" fillId="0" borderId="58" xfId="4495" applyFont="1" applyBorder="1" applyAlignment="1">
      <alignment vertical="center"/>
    </xf>
    <xf numFmtId="0" fontId="118" fillId="0" borderId="58" xfId="4495" applyBorder="1" applyAlignment="1">
      <alignment vertical="top" wrapText="1"/>
    </xf>
    <xf numFmtId="0" fontId="14" fillId="0" borderId="58" xfId="4495" applyFont="1" applyBorder="1"/>
    <xf numFmtId="0" fontId="30" fillId="0" borderId="0" xfId="4495" applyFont="1" applyAlignment="1">
      <alignment vertical="center"/>
    </xf>
    <xf numFmtId="0" fontId="22" fillId="0" borderId="53" xfId="4495" applyFont="1" applyBorder="1"/>
    <xf numFmtId="0" fontId="14" fillId="0" borderId="57" xfId="543" applyBorder="1"/>
    <xf numFmtId="0" fontId="22" fillId="0" borderId="58" xfId="4495" applyFont="1" applyBorder="1" applyAlignment="1">
      <alignment vertical="top"/>
    </xf>
    <xf numFmtId="0" fontId="22" fillId="0" borderId="59" xfId="4495" applyFont="1" applyBorder="1"/>
    <xf numFmtId="0" fontId="22" fillId="0" borderId="57" xfId="4495" applyFont="1" applyBorder="1"/>
    <xf numFmtId="0" fontId="14" fillId="0" borderId="51" xfId="4495" applyFont="1" applyBorder="1"/>
    <xf numFmtId="0" fontId="22" fillId="0" borderId="52" xfId="4495" applyFont="1" applyBorder="1"/>
    <xf numFmtId="0" fontId="14" fillId="0" borderId="50" xfId="543" applyBorder="1"/>
    <xf numFmtId="0" fontId="14" fillId="0" borderId="51" xfId="543" applyBorder="1"/>
    <xf numFmtId="0" fontId="14" fillId="0" borderId="52" xfId="543" applyBorder="1"/>
    <xf numFmtId="0" fontId="22" fillId="0" borderId="0" xfId="4495" applyFont="1" applyAlignment="1">
      <alignment wrapText="1"/>
    </xf>
    <xf numFmtId="0" fontId="21" fillId="0" borderId="54" xfId="4495" applyFont="1" applyBorder="1" applyAlignment="1">
      <alignment horizontal="center" vertical="top"/>
    </xf>
    <xf numFmtId="0" fontId="118" fillId="0" borderId="53" xfId="4495" applyBorder="1" applyAlignment="1">
      <alignment horizontal="center"/>
    </xf>
    <xf numFmtId="2" fontId="22" fillId="0" borderId="0" xfId="4495" applyNumberFormat="1" applyFont="1" applyAlignment="1">
      <alignment horizontal="right"/>
    </xf>
    <xf numFmtId="2" fontId="22" fillId="0" borderId="8" xfId="4495" applyNumberFormat="1" applyFont="1" applyBorder="1" applyAlignment="1">
      <alignment horizontal="left"/>
    </xf>
    <xf numFmtId="0" fontId="22" fillId="0" borderId="8" xfId="4495" applyFont="1" applyBorder="1" applyAlignment="1">
      <alignment horizontal="right"/>
    </xf>
    <xf numFmtId="0" fontId="127" fillId="0" borderId="0" xfId="4495" applyFont="1"/>
    <xf numFmtId="0" fontId="118" fillId="0" borderId="57" xfId="4495" applyBorder="1" applyAlignment="1">
      <alignment horizontal="center"/>
    </xf>
    <xf numFmtId="0" fontId="21" fillId="0" borderId="59" xfId="4495" applyFont="1" applyBorder="1" applyAlignment="1">
      <alignment horizontal="center"/>
    </xf>
    <xf numFmtId="9" fontId="22" fillId="0" borderId="0" xfId="4495" applyNumberFormat="1" applyFont="1" applyAlignment="1">
      <alignment horizontal="left"/>
    </xf>
    <xf numFmtId="0" fontId="14" fillId="0" borderId="17" xfId="543" applyBorder="1"/>
    <xf numFmtId="0" fontId="14" fillId="0" borderId="16" xfId="543" applyBorder="1"/>
    <xf numFmtId="0" fontId="14" fillId="0" borderId="51" xfId="4495" quotePrefix="1" applyFont="1" applyBorder="1" applyAlignment="1">
      <alignment horizontal="center" vertical="top"/>
    </xf>
    <xf numFmtId="0" fontId="22" fillId="0" borderId="53" xfId="4495" applyFont="1" applyBorder="1" applyAlignment="1">
      <alignment horizontal="left" vertical="top"/>
    </xf>
    <xf numFmtId="0" fontId="22" fillId="0" borderId="0" xfId="4495" applyFont="1" applyAlignment="1">
      <alignment horizontal="center" vertical="top"/>
    </xf>
    <xf numFmtId="0" fontId="22" fillId="0" borderId="57" xfId="4495" applyFont="1" applyBorder="1" applyAlignment="1">
      <alignment horizontal="left" vertical="top"/>
    </xf>
    <xf numFmtId="0" fontId="22" fillId="0" borderId="58" xfId="4495" applyFont="1" applyBorder="1" applyAlignment="1">
      <alignment horizontal="center" vertical="top"/>
    </xf>
    <xf numFmtId="0" fontId="118" fillId="0" borderId="58" xfId="4495" applyBorder="1"/>
    <xf numFmtId="0" fontId="21" fillId="0" borderId="58" xfId="4495" applyFont="1" applyBorder="1" applyAlignment="1">
      <alignment vertical="top"/>
    </xf>
    <xf numFmtId="0" fontId="21" fillId="0" borderId="58" xfId="4495" applyFont="1" applyBorder="1" applyAlignment="1">
      <alignment horizontal="left" vertical="top"/>
    </xf>
    <xf numFmtId="0" fontId="21" fillId="0" borderId="51" xfId="4495" applyFont="1" applyBorder="1" applyAlignment="1">
      <alignment horizontal="left" vertical="top"/>
    </xf>
    <xf numFmtId="0" fontId="21" fillId="0" borderId="53" xfId="4495" applyFont="1" applyBorder="1" applyAlignment="1">
      <alignment horizontal="left" vertical="top"/>
    </xf>
    <xf numFmtId="0" fontId="51" fillId="0" borderId="0" xfId="4495" applyFont="1" applyAlignment="1">
      <alignment horizontal="left" vertical="top"/>
    </xf>
    <xf numFmtId="0" fontId="22" fillId="0" borderId="0" xfId="4495" quotePrefix="1" applyFont="1" applyAlignment="1">
      <alignment horizontal="center" vertical="top"/>
    </xf>
    <xf numFmtId="0" fontId="52" fillId="0" borderId="0" xfId="4495" applyFont="1" applyAlignment="1">
      <alignment horizontal="center"/>
    </xf>
    <xf numFmtId="0" fontId="52" fillId="0" borderId="0" xfId="4495" applyFont="1" applyAlignment="1">
      <alignment vertical="top"/>
    </xf>
    <xf numFmtId="0" fontId="105" fillId="0" borderId="0" xfId="4495" applyFont="1"/>
    <xf numFmtId="0" fontId="51" fillId="0" borderId="0" xfId="4495" applyFont="1" applyAlignment="1">
      <alignment vertical="top"/>
    </xf>
    <xf numFmtId="0" fontId="30" fillId="0" borderId="53" xfId="4495" applyFont="1" applyBorder="1"/>
    <xf numFmtId="2" fontId="22" fillId="0" borderId="8" xfId="4495" applyNumberFormat="1" applyFont="1" applyBorder="1" applyAlignment="1">
      <alignment horizontal="right"/>
    </xf>
    <xf numFmtId="0" fontId="21" fillId="0" borderId="50" xfId="4495" applyFont="1" applyBorder="1" applyAlignment="1">
      <alignment horizontal="left" vertical="top"/>
    </xf>
    <xf numFmtId="0" fontId="51" fillId="0" borderId="51" xfId="4495" applyFont="1" applyBorder="1" applyAlignment="1">
      <alignment horizontal="left" vertical="top"/>
    </xf>
    <xf numFmtId="0" fontId="118" fillId="0" borderId="53" xfId="4495" applyBorder="1"/>
    <xf numFmtId="0" fontId="105" fillId="0" borderId="0" xfId="4495" applyFont="1" applyAlignment="1">
      <alignment horizontal="left" vertical="top"/>
    </xf>
    <xf numFmtId="1" fontId="21" fillId="0" borderId="58" xfId="4495" applyNumberFormat="1" applyFont="1" applyBorder="1" applyAlignment="1">
      <alignment vertical="top"/>
    </xf>
    <xf numFmtId="172" fontId="21" fillId="0" borderId="8" xfId="543" applyNumberFormat="1" applyFont="1" applyBorder="1"/>
    <xf numFmtId="172" fontId="21" fillId="0" borderId="0" xfId="543" applyNumberFormat="1" applyFont="1"/>
    <xf numFmtId="0" fontId="30" fillId="0" borderId="0" xfId="4495" applyFont="1" applyAlignment="1">
      <alignment wrapText="1"/>
    </xf>
    <xf numFmtId="0" fontId="30" fillId="0" borderId="0" xfId="4495" applyFont="1" applyAlignment="1">
      <alignment horizontal="center"/>
    </xf>
    <xf numFmtId="0" fontId="30" fillId="0" borderId="0" xfId="4495" applyFont="1" applyAlignment="1">
      <alignment vertical="center" wrapText="1"/>
    </xf>
    <xf numFmtId="180" fontId="22" fillId="0" borderId="0" xfId="4495" applyNumberFormat="1" applyFont="1" applyAlignment="1">
      <alignment horizontal="center"/>
    </xf>
    <xf numFmtId="1" fontId="22" fillId="0" borderId="0" xfId="4495" applyNumberFormat="1" applyFont="1" applyAlignment="1">
      <alignment horizontal="center"/>
    </xf>
    <xf numFmtId="0" fontId="21" fillId="0" borderId="51" xfId="4495" applyFont="1" applyBorder="1" applyAlignment="1">
      <alignment horizontal="center"/>
    </xf>
    <xf numFmtId="0" fontId="21" fillId="0" borderId="51" xfId="4495" applyFont="1" applyBorder="1" applyAlignment="1">
      <alignment vertical="top"/>
    </xf>
    <xf numFmtId="0" fontId="21" fillId="0" borderId="53" xfId="4495" applyFont="1" applyBorder="1"/>
    <xf numFmtId="0" fontId="14" fillId="0" borderId="54" xfId="543" applyBorder="1"/>
    <xf numFmtId="49" fontId="22" fillId="0" borderId="0" xfId="4495" applyNumberFormat="1" applyFont="1" applyAlignment="1">
      <alignment horizontal="left" vertical="center" wrapText="1"/>
    </xf>
    <xf numFmtId="0" fontId="14" fillId="0" borderId="57" xfId="4495" applyFont="1" applyBorder="1"/>
    <xf numFmtId="1" fontId="14" fillId="0" borderId="0" xfId="4495" applyNumberFormat="1" applyFont="1" applyAlignment="1">
      <alignment vertical="center"/>
    </xf>
    <xf numFmtId="0" fontId="32" fillId="0" borderId="50" xfId="4495" applyFont="1" applyBorder="1"/>
    <xf numFmtId="0" fontId="22" fillId="0" borderId="51" xfId="4495" applyFont="1" applyBorder="1" applyAlignment="1">
      <alignment horizontal="center" vertical="top"/>
    </xf>
    <xf numFmtId="0" fontId="22" fillId="0" borderId="51" xfId="4495" applyFont="1" applyBorder="1" applyAlignment="1">
      <alignment vertical="top" wrapText="1"/>
    </xf>
    <xf numFmtId="0" fontId="22" fillId="0" borderId="51" xfId="4495" applyFont="1" applyBorder="1" applyAlignment="1">
      <alignment horizontal="left" vertical="top" wrapText="1"/>
    </xf>
    <xf numFmtId="0" fontId="14" fillId="0" borderId="0" xfId="4495" quotePrefix="1" applyFont="1" applyAlignment="1">
      <alignment horizontal="center" vertical="top"/>
    </xf>
    <xf numFmtId="1" fontId="22" fillId="0" borderId="0" xfId="4495" quotePrefix="1" applyNumberFormat="1" applyFont="1" applyAlignment="1">
      <alignment wrapText="1"/>
    </xf>
    <xf numFmtId="0" fontId="22" fillId="0" borderId="6" xfId="4495" applyFont="1" applyBorder="1" applyAlignment="1">
      <alignment horizontal="right"/>
    </xf>
    <xf numFmtId="0" fontId="120" fillId="0" borderId="0" xfId="4496" applyFont="1" applyAlignment="1">
      <alignment wrapText="1"/>
    </xf>
    <xf numFmtId="0" fontId="14" fillId="0" borderId="0" xfId="4496" applyFont="1" applyAlignment="1">
      <alignment wrapText="1"/>
    </xf>
    <xf numFmtId="0" fontId="30" fillId="0" borderId="51" xfId="4495" applyFont="1" applyBorder="1" applyAlignment="1">
      <alignment vertical="top"/>
    </xf>
    <xf numFmtId="0" fontId="14" fillId="0" borderId="51" xfId="4496" applyFont="1" applyBorder="1" applyAlignment="1">
      <alignment wrapText="1"/>
    </xf>
    <xf numFmtId="0" fontId="21" fillId="0" borderId="51" xfId="4495" applyFont="1" applyBorder="1" applyAlignment="1">
      <alignment horizontal="right"/>
    </xf>
    <xf numFmtId="0" fontId="14" fillId="0" borderId="52" xfId="4495" applyFont="1" applyBorder="1" applyAlignment="1">
      <alignment horizontal="center"/>
    </xf>
    <xf numFmtId="0" fontId="14" fillId="0" borderId="53" xfId="4495" applyFont="1" applyBorder="1" applyAlignment="1">
      <alignment horizontal="left" vertical="top"/>
    </xf>
    <xf numFmtId="0" fontId="14" fillId="0" borderId="54" xfId="4495" applyFont="1" applyBorder="1" applyAlignment="1">
      <alignment horizontal="left" vertical="top"/>
    </xf>
    <xf numFmtId="0" fontId="14" fillId="0" borderId="54" xfId="4495" applyFont="1" applyBorder="1" applyAlignment="1">
      <alignment horizontal="center"/>
    </xf>
    <xf numFmtId="0" fontId="14" fillId="0" borderId="59" xfId="4495" applyFont="1" applyBorder="1" applyAlignment="1">
      <alignment horizontal="center"/>
    </xf>
    <xf numFmtId="9" fontId="14" fillId="0" borderId="0" xfId="4496" applyNumberFormat="1" applyFont="1" applyAlignment="1">
      <alignment horizontal="center"/>
    </xf>
    <xf numFmtId="1" fontId="14" fillId="0" borderId="0" xfId="543" applyNumberFormat="1"/>
    <xf numFmtId="0" fontId="22" fillId="0" borderId="1" xfId="4495" applyFont="1" applyBorder="1"/>
    <xf numFmtId="0" fontId="21" fillId="0" borderId="0" xfId="4495" applyFont="1" applyAlignment="1">
      <alignment horizontal="center" wrapText="1"/>
    </xf>
    <xf numFmtId="0" fontId="21" fillId="0" borderId="9" xfId="4495" applyFont="1" applyBorder="1" applyAlignment="1">
      <alignment horizontal="left"/>
    </xf>
    <xf numFmtId="0" fontId="21" fillId="0" borderId="3" xfId="4495" applyFont="1" applyBorder="1" applyAlignment="1">
      <alignment horizontal="left"/>
    </xf>
    <xf numFmtId="0" fontId="21" fillId="0" borderId="4" xfId="4495" applyFont="1" applyBorder="1" applyAlignment="1">
      <alignment horizontal="left"/>
    </xf>
    <xf numFmtId="0" fontId="14" fillId="0" borderId="2" xfId="4495" applyFont="1" applyBorder="1" applyAlignment="1">
      <alignment horizontal="left"/>
    </xf>
    <xf numFmtId="0" fontId="21" fillId="0" borderId="2" xfId="4495" applyFont="1" applyBorder="1" applyAlignment="1">
      <alignment horizontal="left"/>
    </xf>
    <xf numFmtId="0" fontId="21" fillId="0" borderId="5" xfId="4495" applyFont="1" applyBorder="1" applyAlignment="1">
      <alignment horizontal="left"/>
    </xf>
    <xf numFmtId="180" fontId="62" fillId="0" borderId="0" xfId="4495" applyNumberFormat="1" applyFont="1" applyAlignment="1">
      <alignment horizontal="center" vertical="center"/>
    </xf>
    <xf numFmtId="0" fontId="14" fillId="0" borderId="12" xfId="4495" applyFont="1" applyBorder="1" applyAlignment="1">
      <alignment vertical="top"/>
    </xf>
    <xf numFmtId="0" fontId="44" fillId="0" borderId="0" xfId="4495" applyFont="1" applyAlignment="1">
      <alignment vertical="top" wrapText="1"/>
    </xf>
    <xf numFmtId="0" fontId="14" fillId="0" borderId="51" xfId="4495" applyFont="1" applyBorder="1" applyAlignment="1">
      <alignment horizontal="left" vertical="top" wrapText="1"/>
    </xf>
    <xf numFmtId="0" fontId="14" fillId="0" borderId="51" xfId="4495" applyFont="1" applyBorder="1" applyAlignment="1">
      <alignment horizontal="right"/>
    </xf>
    <xf numFmtId="0" fontId="14" fillId="0" borderId="52" xfId="4495" applyFont="1" applyBorder="1" applyAlignment="1">
      <alignment horizontal="right"/>
    </xf>
    <xf numFmtId="0" fontId="14" fillId="0" borderId="54" xfId="4495" applyFont="1" applyBorder="1" applyAlignment="1">
      <alignment horizontal="right"/>
    </xf>
    <xf numFmtId="0" fontId="14" fillId="0" borderId="58" xfId="4495" applyFont="1" applyBorder="1" applyAlignment="1">
      <alignment horizontal="left" vertical="top" wrapText="1"/>
    </xf>
    <xf numFmtId="0" fontId="14" fillId="0" borderId="58" xfId="4495" applyFont="1" applyBorder="1" applyAlignment="1">
      <alignment horizontal="right"/>
    </xf>
    <xf numFmtId="0" fontId="14" fillId="0" borderId="59" xfId="4495" applyFont="1" applyBorder="1" applyAlignment="1">
      <alignment horizontal="right"/>
    </xf>
    <xf numFmtId="0" fontId="44" fillId="0" borderId="0" xfId="4495" applyFont="1" applyAlignment="1">
      <alignment horizontal="left" vertical="top" wrapText="1"/>
    </xf>
    <xf numFmtId="0" fontId="14" fillId="0" borderId="0" xfId="1192" applyAlignment="1">
      <alignment horizontal="left" vertical="top"/>
    </xf>
    <xf numFmtId="0" fontId="32" fillId="0" borderId="0" xfId="1192" applyFont="1" applyAlignment="1">
      <alignment horizontal="left" vertical="top"/>
    </xf>
    <xf numFmtId="0" fontId="14" fillId="0" borderId="0" xfId="1192" applyAlignment="1">
      <alignment vertical="top"/>
    </xf>
    <xf numFmtId="168" fontId="14" fillId="0" borderId="0" xfId="1192" applyNumberFormat="1"/>
    <xf numFmtId="165" fontId="14" fillId="0" borderId="0" xfId="1192" applyNumberFormat="1"/>
    <xf numFmtId="165" fontId="14" fillId="0" borderId="0" xfId="1192" applyNumberFormat="1" applyAlignment="1">
      <alignment horizontal="right"/>
    </xf>
    <xf numFmtId="2" fontId="14" fillId="0" borderId="0" xfId="1192" applyNumberFormat="1"/>
    <xf numFmtId="6" fontId="14" fillId="0" borderId="0" xfId="1192" applyNumberFormat="1"/>
    <xf numFmtId="0" fontId="21" fillId="0" borderId="0" xfId="1192" applyFont="1"/>
    <xf numFmtId="0" fontId="44" fillId="0" borderId="0" xfId="1192" applyFont="1"/>
    <xf numFmtId="168" fontId="14" fillId="0" borderId="0" xfId="4495" applyNumberFormat="1" applyFont="1"/>
    <xf numFmtId="0" fontId="21" fillId="0" borderId="0" xfId="1192" applyFont="1" applyAlignment="1">
      <alignment vertical="center"/>
    </xf>
    <xf numFmtId="0" fontId="116" fillId="0" borderId="0" xfId="1192" applyFont="1" applyAlignment="1">
      <alignment horizontal="left"/>
    </xf>
    <xf numFmtId="0" fontId="113" fillId="0" borderId="0" xfId="1192" applyFont="1" applyAlignment="1">
      <alignment horizontal="left"/>
    </xf>
    <xf numFmtId="0" fontId="113" fillId="0" borderId="0" xfId="1192" applyFont="1" applyAlignment="1">
      <alignment horizontal="center"/>
    </xf>
    <xf numFmtId="168" fontId="14" fillId="0" borderId="0" xfId="1192" applyNumberFormat="1" applyAlignment="1">
      <alignment horizontal="center"/>
    </xf>
    <xf numFmtId="9" fontId="14" fillId="0" borderId="0" xfId="1192" applyNumberFormat="1"/>
    <xf numFmtId="0" fontId="14" fillId="0" borderId="0" xfId="1192" applyAlignment="1">
      <alignment horizontal="right"/>
    </xf>
    <xf numFmtId="0" fontId="14" fillId="0" borderId="53" xfId="4495" applyFont="1" applyBorder="1" applyAlignment="1">
      <alignment horizontal="left"/>
    </xf>
    <xf numFmtId="6" fontId="21" fillId="0" borderId="0" xfId="1192" applyNumberFormat="1" applyFont="1" applyAlignment="1">
      <alignment horizontal="right"/>
    </xf>
    <xf numFmtId="165" fontId="14" fillId="0" borderId="0" xfId="4495" applyNumberFormat="1" applyFont="1"/>
    <xf numFmtId="0" fontId="52" fillId="0" borderId="4" xfId="4495" applyFont="1" applyBorder="1"/>
    <xf numFmtId="0" fontId="34" fillId="0" borderId="0" xfId="543" applyFont="1" applyAlignment="1">
      <alignment vertical="center" wrapText="1"/>
    </xf>
    <xf numFmtId="1" fontId="21" fillId="0" borderId="13" xfId="271" applyNumberFormat="1" applyFont="1" applyBorder="1"/>
    <xf numFmtId="1" fontId="23" fillId="0" borderId="13" xfId="271" applyNumberFormat="1" applyBorder="1"/>
    <xf numFmtId="0" fontId="14" fillId="0" borderId="11" xfId="0" applyFont="1" applyBorder="1"/>
    <xf numFmtId="9" fontId="14" fillId="0" borderId="0" xfId="4495" applyNumberFormat="1" applyFont="1"/>
    <xf numFmtId="165" fontId="120" fillId="0" borderId="0" xfId="4496" applyNumberFormat="1" applyFont="1" applyAlignment="1">
      <alignment horizontal="center" vertical="top" wrapText="1"/>
    </xf>
    <xf numFmtId="168" fontId="120" fillId="0" borderId="0" xfId="4496" applyNumberFormat="1" applyFont="1" applyAlignment="1">
      <alignment vertical="top" wrapText="1"/>
    </xf>
    <xf numFmtId="165" fontId="120" fillId="0" borderId="64" xfId="4496" applyNumberFormat="1" applyFont="1" applyBorder="1" applyAlignment="1">
      <alignment horizontal="center" vertical="top" wrapText="1"/>
    </xf>
    <xf numFmtId="165" fontId="120" fillId="0" borderId="53" xfId="4496" applyNumberFormat="1" applyFont="1" applyBorder="1" applyAlignment="1">
      <alignment horizontal="left" vertical="top"/>
    </xf>
    <xf numFmtId="165" fontId="120" fillId="0" borderId="53" xfId="4496" applyNumberFormat="1" applyFont="1" applyBorder="1" applyAlignment="1">
      <alignment horizontal="center" vertical="top" wrapText="1"/>
    </xf>
    <xf numFmtId="168" fontId="120" fillId="0" borderId="0" xfId="4496" applyNumberFormat="1" applyFont="1" applyAlignment="1">
      <alignment vertical="top"/>
    </xf>
    <xf numFmtId="1" fontId="120" fillId="0" borderId="0" xfId="4496" applyNumberFormat="1" applyFont="1" applyAlignment="1">
      <alignment vertical="top" wrapText="1"/>
    </xf>
    <xf numFmtId="164" fontId="22" fillId="0" borderId="0" xfId="4495" applyNumberFormat="1" applyFont="1"/>
    <xf numFmtId="0" fontId="21" fillId="0" borderId="8" xfId="0" applyFont="1" applyBorder="1" applyAlignment="1">
      <alignment horizontal="center" vertical="center" wrapText="1"/>
    </xf>
    <xf numFmtId="0" fontId="21"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9" fillId="0" borderId="50" xfId="1192" applyFont="1" applyBorder="1" applyAlignment="1">
      <alignment horizontal="left"/>
    </xf>
    <xf numFmtId="0" fontId="140" fillId="0" borderId="51" xfId="4495" applyFont="1" applyBorder="1" applyAlignment="1">
      <alignment vertical="top"/>
    </xf>
    <xf numFmtId="0" fontId="139" fillId="0" borderId="51" xfId="4495" applyFont="1" applyBorder="1" applyAlignment="1">
      <alignment vertical="top" wrapText="1"/>
    </xf>
    <xf numFmtId="0" fontId="140" fillId="0" borderId="51" xfId="4495" applyFont="1" applyBorder="1"/>
    <xf numFmtId="0" fontId="140" fillId="0" borderId="53" xfId="1192" applyFont="1" applyBorder="1" applyAlignment="1">
      <alignment horizontal="left"/>
    </xf>
    <xf numFmtId="0" fontId="140" fillId="0" borderId="0" xfId="4495" applyFont="1" applyAlignment="1">
      <alignment vertical="top"/>
    </xf>
    <xf numFmtId="0" fontId="139" fillId="0" borderId="0" xfId="4495" applyFont="1" applyAlignment="1">
      <alignment vertical="top" wrapText="1"/>
    </xf>
    <xf numFmtId="0" fontId="140" fillId="0" borderId="0" xfId="4495" applyFont="1"/>
    <xf numFmtId="0" fontId="139" fillId="0" borderId="53" xfId="1192" applyFont="1" applyBorder="1" applyAlignment="1">
      <alignment horizontal="left"/>
    </xf>
    <xf numFmtId="0" fontId="139" fillId="0" borderId="57" xfId="1192" applyFont="1" applyBorder="1" applyAlignment="1">
      <alignment horizontal="left"/>
    </xf>
    <xf numFmtId="0" fontId="140" fillId="0" borderId="58" xfId="4495" applyFont="1" applyBorder="1" applyAlignment="1">
      <alignment vertical="top"/>
    </xf>
    <xf numFmtId="0" fontId="139" fillId="0" borderId="58" xfId="4495" applyFont="1" applyBorder="1" applyAlignment="1">
      <alignment vertical="top" wrapText="1"/>
    </xf>
    <xf numFmtId="0" fontId="140" fillId="0" borderId="58" xfId="4495" applyFont="1" applyBorder="1"/>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1" fillId="0" borderId="7" xfId="0" applyFont="1" applyBorder="1" applyAlignment="1">
      <alignment horizontal="right"/>
    </xf>
    <xf numFmtId="0" fontId="0" fillId="0" borderId="0" xfId="0" applyAlignment="1" applyProtection="1">
      <alignment horizontal="left" vertical="top" wrapText="1"/>
      <protection locked="0"/>
    </xf>
    <xf numFmtId="2" fontId="14" fillId="0" borderId="0" xfId="0" applyNumberFormat="1" applyFont="1"/>
    <xf numFmtId="0" fontId="14" fillId="0" borderId="9" xfId="0" applyFont="1" applyBorder="1" applyAlignment="1">
      <alignment horizontal="left"/>
    </xf>
    <xf numFmtId="0" fontId="14" fillId="0" borderId="6" xfId="0" applyFont="1" applyBorder="1"/>
    <xf numFmtId="0" fontId="14" fillId="0" borderId="9" xfId="0" applyFont="1" applyBorder="1"/>
    <xf numFmtId="0" fontId="47" fillId="0" borderId="0" xfId="0" applyFont="1" applyAlignment="1">
      <alignment horizontal="center"/>
    </xf>
    <xf numFmtId="0" fontId="20" fillId="0" borderId="0" xfId="0" applyFont="1" applyAlignment="1">
      <alignment horizontal="center" vertical="center" wrapText="1"/>
    </xf>
    <xf numFmtId="0" fontId="29" fillId="0" borderId="0" xfId="0" applyFont="1" applyAlignment="1">
      <alignment horizontal="center"/>
    </xf>
    <xf numFmtId="0" fontId="22" fillId="0" borderId="0" xfId="0" applyFont="1" applyAlignment="1">
      <alignment horizontal="center"/>
    </xf>
    <xf numFmtId="0" fontId="21" fillId="0" borderId="3" xfId="0" applyFont="1" applyBorder="1"/>
    <xf numFmtId="0" fontId="21" fillId="0" borderId="4" xfId="271" applyFont="1" applyBorder="1"/>
    <xf numFmtId="0" fontId="21" fillId="0" borderId="3" xfId="271" applyFont="1" applyBorder="1"/>
    <xf numFmtId="0" fontId="21" fillId="0" borderId="5" xfId="271" applyFont="1" applyBorder="1"/>
    <xf numFmtId="0" fontId="14" fillId="0" borderId="58" xfId="4495" applyFont="1" applyBorder="1" applyAlignment="1">
      <alignment vertical="center" wrapText="1"/>
    </xf>
    <xf numFmtId="0" fontId="14" fillId="0" borderId="59" xfId="4495" applyFont="1" applyBorder="1" applyAlignment="1">
      <alignment vertical="center" wrapText="1"/>
    </xf>
    <xf numFmtId="0" fontId="14" fillId="0" borderId="0" xfId="4495" applyFont="1" applyAlignment="1">
      <alignment horizontal="left" vertical="center" wrapText="1"/>
    </xf>
    <xf numFmtId="0" fontId="21" fillId="0" borderId="5" xfId="0" applyFont="1" applyBorder="1"/>
    <xf numFmtId="168" fontId="19" fillId="43" borderId="0" xfId="0" applyNumberFormat="1" applyFont="1" applyFill="1"/>
    <xf numFmtId="9" fontId="22" fillId="0" borderId="0" xfId="543" applyNumberFormat="1" applyFont="1" applyAlignment="1">
      <alignment horizontal="center"/>
    </xf>
    <xf numFmtId="171" fontId="14" fillId="0" borderId="0" xfId="543" applyNumberFormat="1"/>
    <xf numFmtId="171" fontId="14" fillId="0" borderId="11" xfId="543" applyNumberFormat="1" applyBorder="1"/>
    <xf numFmtId="1" fontId="14" fillId="0" borderId="11" xfId="543" applyNumberFormat="1" applyBorder="1" applyAlignment="1">
      <alignment horizontal="center"/>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41" fillId="0" borderId="8" xfId="543" applyFont="1" applyBorder="1" applyAlignment="1">
      <alignment vertical="center" wrapText="1"/>
    </xf>
    <xf numFmtId="0" fontId="41" fillId="0" borderId="0" xfId="543" applyFont="1" applyAlignment="1">
      <alignment vertical="center" wrapText="1"/>
    </xf>
    <xf numFmtId="0" fontId="41" fillId="0" borderId="12" xfId="543" applyFont="1" applyBorder="1" applyAlignment="1">
      <alignment vertical="center" wrapText="1"/>
    </xf>
    <xf numFmtId="0" fontId="41" fillId="0" borderId="9" xfId="543" applyFont="1" applyBorder="1" applyAlignment="1">
      <alignment vertical="center" wrapText="1"/>
    </xf>
    <xf numFmtId="0" fontId="41" fillId="0" borderId="6" xfId="543" applyFont="1" applyBorder="1" applyAlignment="1">
      <alignment vertical="center" wrapText="1"/>
    </xf>
    <xf numFmtId="0" fontId="41" fillId="0" borderId="10" xfId="543" applyFont="1" applyBorder="1" applyAlignment="1">
      <alignment vertical="center" wrapText="1"/>
    </xf>
    <xf numFmtId="0" fontId="34" fillId="0" borderId="12" xfId="543" applyFont="1" applyBorder="1" applyAlignment="1">
      <alignment horizontal="center" vertical="top"/>
    </xf>
    <xf numFmtId="0" fontId="35" fillId="0" borderId="7" xfId="543" applyFont="1" applyBorder="1"/>
    <xf numFmtId="0" fontId="14" fillId="0" borderId="12" xfId="543" quotePrefix="1" applyBorder="1"/>
    <xf numFmtId="0" fontId="51" fillId="0" borderId="2" xfId="569" applyFont="1" applyBorder="1" applyAlignment="1">
      <alignment vertical="top"/>
    </xf>
    <xf numFmtId="0" fontId="24" fillId="0" borderId="0" xfId="4495" applyFont="1"/>
    <xf numFmtId="0" fontId="14" fillId="0" borderId="0" xfId="4495" applyFont="1" applyAlignment="1">
      <alignment vertical="top" wrapText="1" shrinkToFit="1"/>
    </xf>
    <xf numFmtId="0" fontId="154" fillId="0" borderId="0" xfId="4495" applyFont="1"/>
    <xf numFmtId="164" fontId="14" fillId="0" borderId="0" xfId="1192" applyNumberFormat="1" applyAlignment="1">
      <alignment horizontal="right"/>
    </xf>
    <xf numFmtId="164" fontId="14" fillId="0" borderId="0" xfId="4495" applyNumberFormat="1" applyFont="1" applyAlignment="1">
      <alignment horizontal="right"/>
    </xf>
    <xf numFmtId="0" fontId="14" fillId="0" borderId="0" xfId="4495" applyFont="1" applyAlignment="1">
      <alignment horizontal="left" vertical="top" wrapText="1" shrinkToFit="1"/>
    </xf>
    <xf numFmtId="0" fontId="14" fillId="0" borderId="6" xfId="4495" applyFont="1" applyBorder="1" applyAlignment="1">
      <alignment vertical="top" wrapText="1"/>
    </xf>
    <xf numFmtId="0" fontId="154" fillId="0" borderId="4" xfId="4495" applyFont="1" applyBorder="1"/>
    <xf numFmtId="0" fontId="14" fillId="0" borderId="4" xfId="4495" applyFont="1" applyBorder="1" applyAlignment="1">
      <alignment horizontal="left" vertical="top" wrapText="1" shrinkToFit="1"/>
    </xf>
    <xf numFmtId="0" fontId="24" fillId="0" borderId="0" xfId="4495" applyFont="1" applyAlignment="1">
      <alignment horizontal="left" vertical="top"/>
    </xf>
    <xf numFmtId="0" fontId="14" fillId="0" borderId="0" xfId="4495" applyFont="1" applyAlignment="1">
      <alignment vertical="center" wrapText="1" shrinkToFit="1"/>
    </xf>
    <xf numFmtId="0" fontId="14" fillId="0" borderId="0" xfId="4495" applyFont="1" applyAlignment="1">
      <alignment horizontal="left" vertical="top" shrinkToFit="1"/>
    </xf>
    <xf numFmtId="0" fontId="14" fillId="0" borderId="0" xfId="4495" applyFont="1" applyAlignment="1">
      <alignment horizontal="left" vertical="center" shrinkToFit="1"/>
    </xf>
    <xf numFmtId="0" fontId="24" fillId="0" borderId="4" xfId="4495" applyFont="1" applyBorder="1"/>
    <xf numFmtId="0" fontId="14" fillId="0" borderId="4" xfId="4495" applyFont="1" applyBorder="1" applyAlignment="1">
      <alignment horizontal="left" vertical="top" shrinkToFit="1"/>
    </xf>
    <xf numFmtId="0" fontId="14" fillId="0" borderId="0" xfId="4495" applyFont="1" applyAlignment="1">
      <alignment vertical="center"/>
    </xf>
    <xf numFmtId="0" fontId="20" fillId="0" borderId="0" xfId="4495" applyFont="1"/>
    <xf numFmtId="0" fontId="24" fillId="0" borderId="0" xfId="4495" applyFont="1" applyAlignment="1">
      <alignment horizontal="center"/>
    </xf>
    <xf numFmtId="0" fontId="14" fillId="0" borderId="4" xfId="4495" applyFont="1" applyBorder="1" applyAlignment="1">
      <alignment horizontal="left" vertical="top" wrapText="1"/>
    </xf>
    <xf numFmtId="44" fontId="14" fillId="0" borderId="0" xfId="707" applyFont="1" applyFill="1" applyBorder="1" applyAlignment="1" applyProtection="1">
      <alignment horizontal="left" vertical="top" wrapText="1"/>
    </xf>
    <xf numFmtId="44" fontId="14" fillId="0" borderId="4" xfId="707" applyFont="1" applyFill="1" applyBorder="1" applyAlignment="1" applyProtection="1">
      <alignment horizontal="left" vertical="top" wrapText="1"/>
    </xf>
    <xf numFmtId="164" fontId="32" fillId="0" borderId="0" xfId="4495" applyNumberFormat="1" applyFont="1" applyAlignment="1">
      <alignment horizontal="left"/>
    </xf>
    <xf numFmtId="0" fontId="24" fillId="0" borderId="0" xfId="4495" applyFont="1" applyAlignment="1">
      <alignment horizontal="left"/>
    </xf>
    <xf numFmtId="0" fontId="14" fillId="0" borderId="4" xfId="4495" applyFont="1" applyBorder="1" applyAlignment="1">
      <alignment vertical="top" wrapText="1"/>
    </xf>
    <xf numFmtId="0" fontId="24" fillId="0" borderId="4" xfId="4495" applyFont="1" applyBorder="1" applyAlignment="1">
      <alignment horizontal="left" vertical="top"/>
    </xf>
    <xf numFmtId="0" fontId="14" fillId="0" borderId="0" xfId="4495" applyFont="1" applyAlignment="1">
      <alignment horizontal="left" vertical="center" wrapText="1" shrinkToFit="1"/>
    </xf>
    <xf numFmtId="0" fontId="14" fillId="0" borderId="6" xfId="4495" applyFont="1" applyBorder="1" applyAlignment="1">
      <alignment horizontal="left" vertical="top" wrapText="1"/>
    </xf>
    <xf numFmtId="2" fontId="116" fillId="0" borderId="0" xfId="0" applyNumberFormat="1" applyFont="1" applyAlignment="1">
      <alignment horizontal="center"/>
    </xf>
    <xf numFmtId="9" fontId="14" fillId="0" borderId="0" xfId="4494" applyFont="1" applyAlignment="1">
      <alignment horizontal="center"/>
    </xf>
    <xf numFmtId="3" fontId="14" fillId="0" borderId="0" xfId="0" applyNumberFormat="1" applyFont="1"/>
    <xf numFmtId="10" fontId="14" fillId="0" borderId="0" xfId="0" applyNumberFormat="1" applyFont="1" applyAlignment="1">
      <alignment horizontal="center"/>
    </xf>
    <xf numFmtId="168" fontId="14" fillId="0" borderId="0" xfId="0" applyNumberFormat="1" applyFont="1"/>
    <xf numFmtId="172" fontId="14" fillId="0" borderId="11" xfId="0" applyNumberFormat="1" applyFont="1" applyBorder="1" applyAlignment="1">
      <alignment horizontal="center"/>
    </xf>
    <xf numFmtId="168" fontId="14" fillId="5" borderId="0" xfId="0" applyNumberFormat="1" applyFont="1" applyFill="1"/>
    <xf numFmtId="3" fontId="14" fillId="5" borderId="0" xfId="0" applyNumberFormat="1" applyFont="1" applyFill="1"/>
    <xf numFmtId="0" fontId="14" fillId="5" borderId="0" xfId="0" applyFont="1" applyFill="1"/>
    <xf numFmtId="3" fontId="14" fillId="5" borderId="6" xfId="0" applyNumberFormat="1" applyFont="1" applyFill="1" applyBorder="1"/>
    <xf numFmtId="3" fontId="14" fillId="0" borderId="6" xfId="0" applyNumberFormat="1" applyFont="1" applyBorder="1"/>
    <xf numFmtId="168" fontId="14" fillId="0" borderId="0" xfId="0" applyNumberFormat="1" applyFont="1" applyAlignment="1">
      <alignment horizontal="center"/>
    </xf>
    <xf numFmtId="3" fontId="14" fillId="0" borderId="0" xfId="0" applyNumberFormat="1" applyFont="1" applyAlignment="1">
      <alignment horizontal="center"/>
    </xf>
    <xf numFmtId="0" fontId="14" fillId="0" borderId="50" xfId="4495" applyFont="1" applyBorder="1" applyAlignment="1">
      <alignment vertical="center"/>
    </xf>
    <xf numFmtId="0" fontId="14" fillId="0" borderId="51" xfId="4495" applyFont="1" applyBorder="1" applyAlignment="1">
      <alignment vertical="center"/>
    </xf>
    <xf numFmtId="0" fontId="14" fillId="0" borderId="52" xfId="4495" applyFont="1" applyBorder="1" applyAlignment="1">
      <alignment vertical="center"/>
    </xf>
    <xf numFmtId="0" fontId="14" fillId="0" borderId="54" xfId="4495" applyFont="1" applyBorder="1" applyAlignment="1">
      <alignment vertical="center" wrapText="1"/>
    </xf>
    <xf numFmtId="0" fontId="14" fillId="0" borderId="53" xfId="4495" applyFont="1" applyBorder="1" applyAlignment="1">
      <alignment vertical="top" wrapText="1"/>
    </xf>
    <xf numFmtId="0" fontId="14" fillId="0" borderId="58" xfId="0" applyFont="1" applyBorder="1" applyAlignment="1">
      <alignment horizontal="left"/>
    </xf>
    <xf numFmtId="9" fontId="14" fillId="0" borderId="0" xfId="543" applyNumberFormat="1" applyAlignment="1">
      <alignment horizontal="center"/>
    </xf>
    <xf numFmtId="0" fontId="46" fillId="0" borderId="0" xfId="4496" applyFont="1"/>
    <xf numFmtId="168" fontId="51" fillId="5" borderId="11" xfId="0" applyNumberFormat="1" applyFont="1" applyFill="1" applyBorder="1" applyAlignment="1" applyProtection="1">
      <alignment vertical="top" wrapText="1"/>
      <protection locked="0"/>
    </xf>
    <xf numFmtId="0" fontId="14" fillId="0" borderId="0" xfId="0" applyFont="1" applyAlignment="1">
      <alignment horizontal="left" wrapText="1"/>
    </xf>
    <xf numFmtId="4" fontId="32" fillId="0" borderId="0" xfId="0" applyNumberFormat="1" applyFont="1" applyAlignment="1">
      <alignment horizontal="left"/>
    </xf>
    <xf numFmtId="4" fontId="14" fillId="0" borderId="0" xfId="0" applyNumberFormat="1" applyFont="1" applyAlignment="1">
      <alignment horizontal="left" vertical="top" wrapText="1"/>
    </xf>
    <xf numFmtId="0" fontId="21" fillId="0" borderId="4" xfId="0" applyFont="1" applyBorder="1" applyAlignment="1">
      <alignment horizontal="left"/>
    </xf>
    <xf numFmtId="4" fontId="14" fillId="0" borderId="0" xfId="0" applyNumberFormat="1" applyFont="1" applyAlignment="1">
      <alignment horizontal="left"/>
    </xf>
    <xf numFmtId="43" fontId="49" fillId="0" borderId="0" xfId="4504" applyFont="1" applyAlignment="1" applyProtection="1">
      <alignment horizontal="center"/>
    </xf>
    <xf numFmtId="43" fontId="14" fillId="0" borderId="0" xfId="4504" applyFont="1" applyAlignment="1" applyProtection="1">
      <alignment horizontal="center"/>
    </xf>
    <xf numFmtId="43" fontId="14" fillId="0" borderId="0" xfId="4504" applyFont="1" applyProtection="1"/>
    <xf numFmtId="49" fontId="14" fillId="0" borderId="0" xfId="0" applyNumberFormat="1" applyFont="1"/>
    <xf numFmtId="49" fontId="14" fillId="0" borderId="0" xfId="0" applyNumberFormat="1" applyFont="1" applyAlignment="1">
      <alignment horizontal="center"/>
    </xf>
    <xf numFmtId="4" fontId="14" fillId="0" borderId="0" xfId="0" applyNumberFormat="1" applyFont="1" applyAlignment="1">
      <alignment vertical="top" wrapText="1"/>
    </xf>
    <xf numFmtId="0" fontId="14" fillId="0" borderId="0" xfId="0" quotePrefix="1" applyFont="1"/>
    <xf numFmtId="0" fontId="44" fillId="0" borderId="0" xfId="0" applyFont="1" applyAlignment="1">
      <alignment horizontal="left"/>
    </xf>
    <xf numFmtId="0" fontId="14" fillId="0" borderId="4" xfId="0" applyFont="1" applyBorder="1" applyAlignment="1">
      <alignment horizontal="left"/>
    </xf>
    <xf numFmtId="0" fontId="14" fillId="0" borderId="0" xfId="0" quotePrefix="1" applyFont="1" applyAlignment="1">
      <alignment horizontal="left"/>
    </xf>
    <xf numFmtId="0" fontId="14" fillId="0" borderId="0" xfId="0" quotePrefix="1" applyFont="1" applyAlignment="1">
      <alignment horizontal="left" vertical="top"/>
    </xf>
    <xf numFmtId="0" fontId="44" fillId="0" borderId="0" xfId="1192" applyFont="1" applyAlignment="1">
      <alignment horizontal="left"/>
    </xf>
    <xf numFmtId="0" fontId="49" fillId="0" borderId="0" xfId="0" applyFont="1" applyAlignment="1">
      <alignment horizontal="center" vertical="center"/>
    </xf>
    <xf numFmtId="49" fontId="21" fillId="0" borderId="0" xfId="0" applyNumberFormat="1" applyFont="1" applyAlignment="1">
      <alignment horizontal="center" vertical="center"/>
    </xf>
    <xf numFmtId="49" fontId="14" fillId="0" borderId="0" xfId="0" applyNumberFormat="1" applyFont="1" applyAlignment="1">
      <alignment vertical="center"/>
    </xf>
    <xf numFmtId="4" fontId="14" fillId="0" borderId="0" xfId="0" applyNumberFormat="1" applyFont="1" applyAlignment="1">
      <alignment horizontal="center"/>
    </xf>
    <xf numFmtId="4" fontId="14" fillId="0" borderId="0" xfId="0" applyNumberFormat="1" applyFont="1"/>
    <xf numFmtId="10" fontId="14" fillId="0" borderId="0" xfId="4495" applyNumberFormat="1" applyFont="1"/>
    <xf numFmtId="10" fontId="120" fillId="0" borderId="0" xfId="4496" applyNumberFormat="1" applyFont="1" applyAlignment="1">
      <alignment horizontal="center" vertical="top" wrapText="1"/>
    </xf>
    <xf numFmtId="10" fontId="120" fillId="0" borderId="64" xfId="4496" applyNumberFormat="1" applyFont="1" applyBorder="1" applyAlignment="1">
      <alignment horizontal="center" vertical="top" wrapText="1"/>
    </xf>
    <xf numFmtId="10" fontId="120"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4" fillId="0" borderId="0" xfId="1192" quotePrefix="1" applyNumberFormat="1" applyAlignment="1">
      <alignment horizontal="center"/>
    </xf>
    <xf numFmtId="0" fontId="120" fillId="0" borderId="0" xfId="4495" applyFont="1"/>
    <xf numFmtId="10" fontId="120" fillId="0" borderId="0" xfId="4495" applyNumberFormat="1" applyFont="1"/>
    <xf numFmtId="172" fontId="14" fillId="0" borderId="0" xfId="4495" applyNumberFormat="1" applyFont="1"/>
    <xf numFmtId="0" fontId="37" fillId="0" borderId="0" xfId="0" applyFont="1" applyAlignment="1">
      <alignment horizontal="center"/>
    </xf>
    <xf numFmtId="0" fontId="33" fillId="0" borderId="0" xfId="0" applyFont="1" applyAlignment="1">
      <alignment horizontal="left"/>
    </xf>
    <xf numFmtId="0" fontId="0" fillId="0" borderId="10" xfId="0" applyBorder="1" applyAlignment="1">
      <alignment horizontal="left"/>
    </xf>
    <xf numFmtId="1" fontId="14" fillId="0" borderId="0" xfId="1192" applyNumberFormat="1" applyAlignment="1">
      <alignment horizontal="center"/>
    </xf>
    <xf numFmtId="0" fontId="118" fillId="0" borderId="63" xfId="4495" applyBorder="1"/>
    <xf numFmtId="0" fontId="51" fillId="0" borderId="0" xfId="271" applyFont="1" applyAlignment="1">
      <alignment vertical="top"/>
    </xf>
    <xf numFmtId="0" fontId="21" fillId="0" borderId="11" xfId="0" applyFont="1" applyBorder="1" applyAlignment="1">
      <alignment horizontal="right" vertical="top" wrapText="1"/>
    </xf>
    <xf numFmtId="0" fontId="23" fillId="0" borderId="11" xfId="271" applyBorder="1" applyAlignment="1" applyProtection="1">
      <alignment horizontal="right" vertical="top" wrapText="1"/>
      <protection locked="0"/>
    </xf>
    <xf numFmtId="0" fontId="14" fillId="0" borderId="54" xfId="4495" applyFont="1" applyBorder="1" applyAlignment="1">
      <alignment vertical="top"/>
    </xf>
    <xf numFmtId="9" fontId="23" fillId="0" borderId="0" xfId="0" applyNumberFormat="1" applyFont="1"/>
    <xf numFmtId="0" fontId="14" fillId="0" borderId="16" xfId="569" applyBorder="1" applyAlignment="1">
      <alignment horizontal="center"/>
    </xf>
    <xf numFmtId="164" fontId="14" fillId="0" borderId="57" xfId="4495" applyNumberFormat="1" applyFont="1" applyBorder="1" applyAlignment="1">
      <alignment vertical="top" wrapText="1"/>
    </xf>
    <xf numFmtId="164" fontId="14" fillId="0" borderId="58" xfId="4495" applyNumberFormat="1" applyFont="1" applyBorder="1" applyAlignment="1">
      <alignment vertical="top" wrapText="1"/>
    </xf>
    <xf numFmtId="164" fontId="14" fillId="0" borderId="59" xfId="4495" applyNumberFormat="1" applyFont="1" applyBorder="1" applyAlignment="1">
      <alignment vertical="top" wrapText="1"/>
    </xf>
    <xf numFmtId="0" fontId="21" fillId="0" borderId="0" xfId="1192" applyFont="1" applyAlignment="1">
      <alignment horizontal="left" vertical="top" wrapText="1"/>
    </xf>
    <xf numFmtId="0" fontId="14" fillId="0" borderId="16" xfId="569" applyBorder="1"/>
    <xf numFmtId="0" fontId="14" fillId="0" borderId="4" xfId="569" applyBorder="1"/>
    <xf numFmtId="0" fontId="21" fillId="0" borderId="4" xfId="569" applyFont="1" applyBorder="1"/>
    <xf numFmtId="49" fontId="14" fillId="0" borderId="4" xfId="569" applyNumberFormat="1" applyBorder="1"/>
    <xf numFmtId="0" fontId="160" fillId="0" borderId="0" xfId="0" applyFont="1"/>
    <xf numFmtId="0" fontId="14" fillId="0" borderId="0" xfId="0" applyFont="1" applyAlignment="1">
      <alignment horizontal="right"/>
    </xf>
    <xf numFmtId="1" fontId="14" fillId="0" borderId="0" xfId="0" applyNumberFormat="1" applyFont="1" applyAlignment="1">
      <alignment horizontal="center"/>
    </xf>
    <xf numFmtId="0" fontId="21" fillId="0" borderId="0" xfId="0" applyFont="1" applyAlignment="1">
      <alignment horizontal="left" vertical="center"/>
    </xf>
    <xf numFmtId="0" fontId="14" fillId="0" borderId="0" xfId="0" applyFont="1" applyAlignment="1">
      <alignment horizontal="left" vertical="center"/>
    </xf>
    <xf numFmtId="0" fontId="21" fillId="0" borderId="0" xfId="569" applyFont="1" applyAlignment="1">
      <alignment vertical="top"/>
    </xf>
    <xf numFmtId="0" fontId="15" fillId="0" borderId="0" xfId="244" applyAlignment="1"/>
    <xf numFmtId="0" fontId="21" fillId="0" borderId="0" xfId="0" applyFont="1" applyAlignment="1">
      <alignment vertical="top" wrapText="1"/>
    </xf>
    <xf numFmtId="49" fontId="21" fillId="0" borderId="0" xfId="0" applyNumberFormat="1" applyFont="1"/>
    <xf numFmtId="49" fontId="21" fillId="0" borderId="0" xfId="0" applyNumberFormat="1" applyFont="1" applyAlignment="1">
      <alignment vertical="top"/>
    </xf>
    <xf numFmtId="0" fontId="37" fillId="0" borderId="11" xfId="0" applyFont="1" applyBorder="1"/>
    <xf numFmtId="175" fontId="14" fillId="0" borderId="0" xfId="543" applyNumberFormat="1" applyAlignment="1">
      <alignment vertical="center"/>
    </xf>
    <xf numFmtId="0" fontId="96" fillId="43" borderId="6" xfId="4496" applyFont="1" applyFill="1" applyBorder="1" applyAlignment="1" applyProtection="1">
      <alignment horizontal="center"/>
      <protection locked="0"/>
    </xf>
    <xf numFmtId="0" fontId="96" fillId="0" borderId="0" xfId="4496" applyFont="1"/>
    <xf numFmtId="0" fontId="96" fillId="0" borderId="0" xfId="4496" applyFont="1" applyAlignment="1">
      <alignment wrapText="1"/>
    </xf>
    <xf numFmtId="0" fontId="135" fillId="0" borderId="0" xfId="4496" applyFont="1"/>
    <xf numFmtId="181" fontId="136" fillId="0" borderId="0" xfId="4498" applyNumberFormat="1" applyFont="1" applyBorder="1" applyProtection="1"/>
    <xf numFmtId="0" fontId="137" fillId="0" borderId="0" xfId="4496" applyFont="1" applyAlignment="1">
      <alignment vertical="center" wrapText="1"/>
    </xf>
    <xf numFmtId="49" fontId="96" fillId="0" borderId="0" xfId="4496" applyNumberFormat="1" applyFont="1" applyAlignment="1">
      <alignment horizontal="center"/>
    </xf>
    <xf numFmtId="182" fontId="96" fillId="0" borderId="6" xfId="4496" applyNumberFormat="1" applyFont="1" applyBorder="1"/>
    <xf numFmtId="0" fontId="96" fillId="0" borderId="0" xfId="4496" applyFont="1" applyAlignment="1">
      <alignment vertical="center"/>
    </xf>
    <xf numFmtId="182" fontId="96" fillId="0" borderId="0" xfId="4496" applyNumberFormat="1" applyFont="1" applyAlignment="1">
      <alignment vertical="center"/>
    </xf>
    <xf numFmtId="175" fontId="96" fillId="0" borderId="0" xfId="4499" applyNumberFormat="1" applyFont="1" applyFill="1" applyBorder="1" applyAlignment="1" applyProtection="1">
      <alignment horizontal="left" vertical="center"/>
    </xf>
    <xf numFmtId="9" fontId="96" fillId="0" borderId="0" xfId="4499" applyFont="1" applyFill="1" applyBorder="1" applyAlignment="1" applyProtection="1">
      <alignment vertical="center"/>
    </xf>
    <xf numFmtId="183" fontId="96" fillId="0" borderId="0" xfId="4496" applyNumberFormat="1" applyFont="1" applyAlignment="1">
      <alignment vertical="center" wrapText="1"/>
    </xf>
    <xf numFmtId="9" fontId="96" fillId="0" borderId="0" xfId="4499" applyFont="1" applyBorder="1" applyAlignment="1" applyProtection="1">
      <alignment vertical="center"/>
    </xf>
    <xf numFmtId="164" fontId="96" fillId="0" borderId="0" xfId="4496" applyNumberFormat="1" applyFont="1" applyAlignment="1">
      <alignment vertical="center" wrapText="1"/>
    </xf>
    <xf numFmtId="0" fontId="96" fillId="0" borderId="0" xfId="4496" applyFont="1" applyAlignment="1">
      <alignment horizontal="center" vertical="center"/>
    </xf>
    <xf numFmtId="182" fontId="96" fillId="0" borderId="11" xfId="8722" applyNumberFormat="1" applyFont="1" applyBorder="1" applyProtection="1"/>
    <xf numFmtId="182" fontId="96" fillId="0" borderId="11" xfId="4496" applyNumberFormat="1" applyFont="1" applyBorder="1"/>
    <xf numFmtId="164" fontId="96" fillId="0" borderId="0" xfId="4496" applyNumberFormat="1" applyFont="1" applyAlignment="1">
      <alignment wrapText="1"/>
    </xf>
    <xf numFmtId="49" fontId="96" fillId="0" borderId="0" xfId="4496" applyNumberFormat="1" applyFont="1" applyAlignment="1">
      <alignment horizontal="left"/>
    </xf>
    <xf numFmtId="0" fontId="138" fillId="0" borderId="0" xfId="4496" applyFont="1"/>
    <xf numFmtId="9" fontId="96" fillId="0" borderId="11" xfId="4494" applyFont="1" applyFill="1" applyBorder="1" applyAlignment="1" applyProtection="1">
      <alignment horizontal="right"/>
    </xf>
    <xf numFmtId="182" fontId="96" fillId="0" borderId="11" xfId="4496" applyNumberFormat="1" applyFont="1" applyBorder="1" applyAlignment="1">
      <alignment horizontal="left"/>
    </xf>
    <xf numFmtId="1" fontId="96" fillId="0" borderId="0" xfId="4496" applyNumberFormat="1" applyFont="1"/>
    <xf numFmtId="2" fontId="96" fillId="0" borderId="0" xfId="4496" applyNumberFormat="1" applyFont="1" applyAlignment="1">
      <alignment horizontal="center"/>
    </xf>
    <xf numFmtId="2" fontId="96" fillId="0" borderId="0" xfId="4496" applyNumberFormat="1" applyFont="1"/>
    <xf numFmtId="0" fontId="135" fillId="45" borderId="3" xfId="4496" applyFont="1" applyFill="1" applyBorder="1" applyAlignment="1">
      <alignment horizontal="left" indent="1"/>
    </xf>
    <xf numFmtId="0" fontId="96" fillId="45" borderId="4" xfId="4496" applyFont="1" applyFill="1" applyBorder="1"/>
    <xf numFmtId="2" fontId="96" fillId="45" borderId="5" xfId="4496" applyNumberFormat="1" applyFont="1" applyFill="1" applyBorder="1"/>
    <xf numFmtId="181" fontId="96" fillId="0" borderId="0" xfId="4496" applyNumberFormat="1" applyFont="1"/>
    <xf numFmtId="165" fontId="136" fillId="0" borderId="0" xfId="4499" applyNumberFormat="1" applyFont="1" applyFill="1" applyBorder="1" applyProtection="1"/>
    <xf numFmtId="9" fontId="96" fillId="0" borderId="0" xfId="4494" applyFont="1" applyFill="1" applyProtection="1"/>
    <xf numFmtId="0" fontId="96" fillId="0" borderId="11" xfId="4496" applyFont="1" applyBorder="1" applyAlignment="1">
      <alignment horizontal="center"/>
    </xf>
    <xf numFmtId="2" fontId="96" fillId="0" borderId="11" xfId="4496" applyNumberFormat="1" applyFont="1" applyBorder="1" applyAlignment="1">
      <alignment horizontal="center"/>
    </xf>
    <xf numFmtId="0" fontId="96" fillId="0" borderId="0" xfId="4496" applyFont="1" applyAlignment="1">
      <alignment vertical="top" wrapText="1"/>
    </xf>
    <xf numFmtId="0" fontId="96" fillId="0" borderId="11" xfId="4496" applyFont="1" applyBorder="1" applyAlignment="1">
      <alignment horizontal="center" vertical="top" wrapText="1"/>
    </xf>
    <xf numFmtId="182" fontId="96" fillId="0" borderId="0" xfId="8722" applyNumberFormat="1" applyFont="1" applyBorder="1" applyProtection="1"/>
    <xf numFmtId="0" fontId="96" fillId="0" borderId="0" xfId="4496" applyFont="1" applyAlignment="1">
      <alignment horizontal="left" indent="1"/>
    </xf>
    <xf numFmtId="182" fontId="96" fillId="0" borderId="0" xfId="4496" applyNumberFormat="1" applyFont="1"/>
    <xf numFmtId="184" fontId="96" fillId="0" borderId="0" xfId="4496" applyNumberFormat="1" applyFont="1"/>
    <xf numFmtId="0" fontId="96" fillId="0" borderId="0" xfId="4496" applyFont="1" applyAlignment="1">
      <alignment horizontal="left"/>
    </xf>
    <xf numFmtId="0" fontId="96" fillId="0" borderId="0" xfId="4496" applyFont="1" applyAlignment="1">
      <alignment horizontal="center"/>
    </xf>
    <xf numFmtId="9" fontId="96" fillId="0" borderId="0" xfId="4494" applyFont="1" applyFill="1" applyBorder="1" applyProtection="1"/>
    <xf numFmtId="3" fontId="19" fillId="0" borderId="11" xfId="271" applyNumberFormat="1" applyFont="1" applyBorder="1" applyAlignment="1">
      <alignment horizontal="center"/>
    </xf>
    <xf numFmtId="3" fontId="19" fillId="43" borderId="11" xfId="271" applyNumberFormat="1" applyFont="1" applyFill="1" applyBorder="1" applyAlignment="1" applyProtection="1">
      <alignment horizontal="center"/>
      <protection locked="0"/>
    </xf>
    <xf numFmtId="3" fontId="19" fillId="43" borderId="11" xfId="271" applyNumberFormat="1" applyFont="1" applyFill="1" applyBorder="1" applyProtection="1">
      <protection locked="0"/>
    </xf>
    <xf numFmtId="0" fontId="96" fillId="0" borderId="0" xfId="4496" applyFont="1" applyAlignment="1">
      <alignment horizontal="right"/>
    </xf>
    <xf numFmtId="168" fontId="23" fillId="0" borderId="0" xfId="0" applyNumberFormat="1" applyFont="1"/>
    <xf numFmtId="0" fontId="96" fillId="0" borderId="15" xfId="4496" applyFont="1" applyBorder="1" applyAlignment="1">
      <alignment horizontal="center" vertical="top" wrapText="1"/>
    </xf>
    <xf numFmtId="2" fontId="96" fillId="0" borderId="15" xfId="4496" applyNumberFormat="1" applyFont="1" applyBorder="1" applyAlignment="1">
      <alignment horizontal="center"/>
    </xf>
    <xf numFmtId="0" fontId="96" fillId="0" borderId="15" xfId="4496" applyFont="1" applyBorder="1" applyAlignment="1">
      <alignment horizontal="center"/>
    </xf>
    <xf numFmtId="0" fontId="135" fillId="0" borderId="71" xfId="4496" applyFont="1" applyBorder="1" applyAlignment="1">
      <alignment horizontal="center" vertical="top" wrapText="1"/>
    </xf>
    <xf numFmtId="0" fontId="135" fillId="0" borderId="71" xfId="4496" applyFont="1" applyBorder="1" applyAlignment="1">
      <alignment horizontal="center"/>
    </xf>
    <xf numFmtId="0" fontId="165" fillId="0" borderId="0" xfId="4496" applyFont="1" applyAlignment="1">
      <alignment horizontal="right" vertical="center"/>
    </xf>
    <xf numFmtId="175" fontId="96" fillId="0" borderId="0" xfId="4499" applyNumberFormat="1" applyFont="1" applyFill="1" applyBorder="1" applyAlignment="1" applyProtection="1">
      <alignment horizontal="right" vertical="center"/>
    </xf>
    <xf numFmtId="5" fontId="96" fillId="0" borderId="6" xfId="4496" applyNumberFormat="1" applyFont="1" applyBorder="1" applyAlignment="1">
      <alignment vertical="center"/>
    </xf>
    <xf numFmtId="0" fontId="96" fillId="0" borderId="66" xfId="4496" applyFont="1" applyBorder="1" applyAlignment="1">
      <alignment vertical="center"/>
    </xf>
    <xf numFmtId="0" fontId="96" fillId="0" borderId="41" xfId="4496" applyFont="1" applyBorder="1" applyAlignment="1">
      <alignment vertical="center"/>
    </xf>
    <xf numFmtId="182" fontId="96" fillId="0" borderId="86" xfId="4496" applyNumberFormat="1" applyFont="1" applyBorder="1" applyAlignment="1">
      <alignment vertical="center"/>
    </xf>
    <xf numFmtId="175" fontId="96" fillId="0" borderId="42" xfId="4499" applyNumberFormat="1" applyFont="1" applyFill="1" applyBorder="1" applyAlignment="1" applyProtection="1">
      <alignment horizontal="left" vertical="center"/>
    </xf>
    <xf numFmtId="0" fontId="96" fillId="0" borderId="42" xfId="4496" applyFont="1" applyBorder="1" applyAlignment="1">
      <alignment vertical="center"/>
    </xf>
    <xf numFmtId="0" fontId="96" fillId="0" borderId="44" xfId="4496" applyFont="1" applyBorder="1" applyAlignment="1">
      <alignment vertical="center"/>
    </xf>
    <xf numFmtId="49" fontId="96" fillId="0" borderId="0" xfId="4496" applyNumberFormat="1" applyFont="1" applyAlignment="1">
      <alignment horizontal="center" vertical="center"/>
    </xf>
    <xf numFmtId="0" fontId="96" fillId="0" borderId="65" xfId="4496" applyFont="1" applyBorder="1" applyAlignment="1">
      <alignment vertical="center"/>
    </xf>
    <xf numFmtId="0" fontId="96" fillId="0" borderId="29" xfId="4496" applyFont="1" applyBorder="1" applyAlignment="1">
      <alignment vertical="center"/>
    </xf>
    <xf numFmtId="0" fontId="96" fillId="0" borderId="29" xfId="4496" applyFont="1" applyBorder="1" applyAlignment="1">
      <alignment horizontal="right" vertical="center"/>
    </xf>
    <xf numFmtId="5" fontId="96" fillId="0" borderId="29" xfId="4496" applyNumberFormat="1" applyFont="1" applyBorder="1" applyAlignment="1">
      <alignment vertical="center"/>
    </xf>
    <xf numFmtId="0" fontId="96" fillId="0" borderId="31" xfId="4496" applyFont="1" applyBorder="1" applyAlignment="1">
      <alignment vertical="center"/>
    </xf>
    <xf numFmtId="175" fontId="135" fillId="0" borderId="42" xfId="4494" applyNumberFormat="1" applyFont="1" applyFill="1" applyBorder="1" applyAlignment="1" applyProtection="1">
      <alignment horizontal="center" vertical="center"/>
    </xf>
    <xf numFmtId="0" fontId="135" fillId="0" borderId="29" xfId="4496" applyFont="1" applyBorder="1" applyAlignment="1">
      <alignment vertical="center"/>
    </xf>
    <xf numFmtId="0" fontId="135" fillId="0" borderId="0" xfId="4496" applyFont="1" applyAlignment="1">
      <alignment vertical="center"/>
    </xf>
    <xf numFmtId="0" fontId="135" fillId="0" borderId="42" xfId="4496" applyFont="1" applyBorder="1" applyAlignment="1">
      <alignment vertical="center"/>
    </xf>
    <xf numFmtId="9" fontId="135" fillId="0" borderId="42" xfId="4499" applyFont="1" applyFill="1" applyBorder="1" applyAlignment="1" applyProtection="1">
      <alignment vertical="center"/>
    </xf>
    <xf numFmtId="182" fontId="96" fillId="0" borderId="15" xfId="4496" applyNumberFormat="1" applyFont="1" applyBorder="1"/>
    <xf numFmtId="182" fontId="135" fillId="0" borderId="71" xfId="8722" applyNumberFormat="1" applyFont="1" applyBorder="1" applyProtection="1"/>
    <xf numFmtId="9" fontId="96" fillId="0" borderId="15" xfId="4494" applyFont="1" applyFill="1" applyBorder="1" applyAlignment="1" applyProtection="1">
      <alignment horizontal="right"/>
    </xf>
    <xf numFmtId="182" fontId="135" fillId="0" borderId="71" xfId="4496" applyNumberFormat="1" applyFont="1" applyBorder="1"/>
    <xf numFmtId="0" fontId="165" fillId="0" borderId="0" xfId="4496" applyFont="1" applyAlignment="1">
      <alignment horizontal="right"/>
    </xf>
    <xf numFmtId="0" fontId="96" fillId="0" borderId="0" xfId="4496" applyFont="1" applyAlignment="1">
      <alignment horizontal="right" vertical="top" wrapText="1" indent="1"/>
    </xf>
    <xf numFmtId="182" fontId="96" fillId="0" borderId="6" xfId="8722" applyNumberFormat="1" applyFont="1" applyBorder="1" applyAlignment="1" applyProtection="1">
      <alignment horizontal="center"/>
    </xf>
    <xf numFmtId="0" fontId="96" fillId="0" borderId="0" xfId="4496" applyFont="1" applyAlignment="1">
      <alignment horizontal="right" indent="1"/>
    </xf>
    <xf numFmtId="0" fontId="96" fillId="0" borderId="0" xfId="4496" applyFont="1" applyAlignment="1">
      <alignment horizontal="right" vertical="top"/>
    </xf>
    <xf numFmtId="0" fontId="135" fillId="0" borderId="0" xfId="4496" applyFont="1" applyAlignment="1">
      <alignment horizontal="right"/>
    </xf>
    <xf numFmtId="182" fontId="135" fillId="0" borderId="0" xfId="8722" applyNumberFormat="1" applyFont="1" applyBorder="1" applyAlignment="1" applyProtection="1">
      <alignment horizontal="center"/>
    </xf>
    <xf numFmtId="10" fontId="96" fillId="0" borderId="0" xfId="4494" applyNumberFormat="1" applyFont="1" applyBorder="1" applyAlignment="1" applyProtection="1">
      <alignment horizontal="center"/>
    </xf>
    <xf numFmtId="184" fontId="96" fillId="0" borderId="6" xfId="4496" applyNumberFormat="1" applyFont="1" applyBorder="1"/>
    <xf numFmtId="0" fontId="135" fillId="0" borderId="0" xfId="4496" applyFont="1" applyAlignment="1">
      <alignment horizontal="right" vertical="top"/>
    </xf>
    <xf numFmtId="182" fontId="135" fillId="0" borderId="0" xfId="4496" applyNumberFormat="1" applyFont="1"/>
    <xf numFmtId="182" fontId="96" fillId="0" borderId="6" xfId="8722" applyNumberFormat="1" applyFont="1" applyBorder="1" applyProtection="1"/>
    <xf numFmtId="184" fontId="96" fillId="0" borderId="0" xfId="4496" applyNumberFormat="1" applyFont="1" applyAlignment="1">
      <alignment horizontal="center"/>
    </xf>
    <xf numFmtId="0" fontId="96" fillId="0" borderId="6" xfId="4496" applyFont="1" applyBorder="1" applyAlignment="1">
      <alignment horizontal="right" vertical="top" wrapText="1" indent="1"/>
    </xf>
    <xf numFmtId="0" fontId="96" fillId="0" borderId="70" xfId="4496" applyFont="1" applyBorder="1" applyAlignment="1">
      <alignment horizontal="right" indent="1"/>
    </xf>
    <xf numFmtId="0" fontId="96" fillId="0" borderId="80" xfId="4496" applyFont="1" applyBorder="1" applyAlignment="1">
      <alignment horizontal="right" indent="1"/>
    </xf>
    <xf numFmtId="0" fontId="96" fillId="0" borderId="80" xfId="4496" quotePrefix="1" applyFont="1" applyBorder="1" applyAlignment="1">
      <alignment horizontal="right" indent="1"/>
    </xf>
    <xf numFmtId="0" fontId="96" fillId="0" borderId="72" xfId="4496" applyFont="1" applyBorder="1" applyAlignment="1">
      <alignment horizontal="right" indent="1"/>
    </xf>
    <xf numFmtId="182" fontId="96" fillId="0" borderId="74" xfId="4496" applyNumberFormat="1" applyFont="1" applyBorder="1"/>
    <xf numFmtId="182" fontId="96" fillId="0" borderId="91" xfId="4496" applyNumberFormat="1" applyFont="1" applyBorder="1"/>
    <xf numFmtId="182" fontId="96" fillId="0" borderId="93" xfId="4496" applyNumberFormat="1" applyFont="1" applyBorder="1"/>
    <xf numFmtId="175" fontId="21" fillId="0" borderId="0" xfId="543" applyNumberFormat="1" applyFont="1" applyAlignment="1">
      <alignment vertical="center"/>
    </xf>
    <xf numFmtId="10" fontId="135" fillId="0" borderId="0" xfId="4494" applyNumberFormat="1" applyFont="1" applyProtection="1"/>
    <xf numFmtId="0" fontId="21" fillId="0" borderId="0" xfId="1192" applyFont="1" applyAlignment="1">
      <alignment horizontal="left" indent="1"/>
    </xf>
    <xf numFmtId="168" fontId="96" fillId="0" borderId="11" xfId="4499" applyNumberFormat="1" applyFont="1" applyFill="1" applyBorder="1" applyAlignment="1" applyProtection="1">
      <alignment horizontal="left" vertical="center" indent="1"/>
    </xf>
    <xf numFmtId="168" fontId="135" fillId="0" borderId="71" xfId="4499" applyNumberFormat="1" applyFont="1" applyFill="1" applyBorder="1" applyAlignment="1" applyProtection="1">
      <alignment horizontal="left" vertical="center" indent="1"/>
    </xf>
    <xf numFmtId="182" fontId="96" fillId="0" borderId="13" xfId="4496" applyNumberFormat="1" applyFont="1" applyBorder="1"/>
    <xf numFmtId="182" fontId="96" fillId="0" borderId="73" xfId="4496" applyNumberFormat="1" applyFont="1" applyBorder="1"/>
    <xf numFmtId="0" fontId="135" fillId="0" borderId="4" xfId="4496" applyFont="1" applyBorder="1" applyAlignment="1">
      <alignment horizontal="left" indent="1"/>
    </xf>
    <xf numFmtId="0" fontId="96" fillId="0" borderId="4" xfId="4496" applyFont="1" applyBorder="1"/>
    <xf numFmtId="0" fontId="32" fillId="0" borderId="0" xfId="4495" applyFont="1" applyAlignment="1">
      <alignment vertical="center"/>
    </xf>
    <xf numFmtId="0" fontId="120" fillId="0" borderId="0" xfId="4496" applyFont="1" applyAlignment="1">
      <alignment vertical="center" wrapText="1"/>
    </xf>
    <xf numFmtId="0" fontId="19" fillId="43" borderId="0" xfId="1192" applyFont="1" applyFill="1"/>
    <xf numFmtId="3" fontId="66" fillId="43" borderId="6" xfId="1192" applyNumberFormat="1" applyFont="1" applyFill="1" applyBorder="1"/>
    <xf numFmtId="0" fontId="167" fillId="0" borderId="0" xfId="0" applyFont="1"/>
    <xf numFmtId="0" fontId="19" fillId="0" borderId="11" xfId="253" applyFont="1" applyBorder="1" applyAlignment="1" applyProtection="1">
      <alignment horizontal="center" wrapText="1"/>
      <protection locked="0"/>
    </xf>
    <xf numFmtId="0" fontId="168" fillId="0" borderId="0" xfId="0" applyFont="1"/>
    <xf numFmtId="0" fontId="169" fillId="0" borderId="0" xfId="0" applyFont="1" applyAlignment="1">
      <alignment horizontal="center"/>
    </xf>
    <xf numFmtId="0" fontId="51" fillId="5" borderId="11" xfId="0" applyFont="1" applyFill="1" applyBorder="1" applyAlignment="1" applyProtection="1">
      <alignment horizontal="right" vertical="top" wrapText="1"/>
      <protection locked="0"/>
    </xf>
    <xf numFmtId="0" fontId="14" fillId="43" borderId="3" xfId="569" applyFill="1" applyBorder="1"/>
    <xf numFmtId="0" fontId="174" fillId="0" borderId="0" xfId="0" applyFont="1" applyAlignment="1">
      <alignment horizontal="right"/>
    </xf>
    <xf numFmtId="1" fontId="22" fillId="0" borderId="0" xfId="4495" applyNumberFormat="1" applyFont="1"/>
    <xf numFmtId="0" fontId="2" fillId="0" borderId="0" xfId="8726"/>
    <xf numFmtId="0" fontId="101" fillId="0" borderId="0" xfId="8726" applyFont="1"/>
    <xf numFmtId="0" fontId="153" fillId="0" borderId="0" xfId="8726" applyFont="1"/>
    <xf numFmtId="0" fontId="2" fillId="48" borderId="44" xfId="8726" applyFill="1" applyBorder="1"/>
    <xf numFmtId="0" fontId="2" fillId="48" borderId="42" xfId="8726" applyFill="1" applyBorder="1"/>
    <xf numFmtId="0" fontId="2" fillId="48" borderId="41" xfId="8726" applyFill="1" applyBorder="1"/>
    <xf numFmtId="0" fontId="2" fillId="44" borderId="44" xfId="8726" applyFill="1" applyBorder="1"/>
    <xf numFmtId="0" fontId="2" fillId="44" borderId="42" xfId="8726" applyFill="1" applyBorder="1"/>
    <xf numFmtId="0" fontId="2" fillId="44" borderId="86" xfId="8726" applyFill="1" applyBorder="1"/>
    <xf numFmtId="0" fontId="2" fillId="48" borderId="0" xfId="8726" applyFill="1"/>
    <xf numFmtId="0" fontId="2" fillId="44" borderId="41" xfId="8726" applyFill="1" applyBorder="1"/>
    <xf numFmtId="0" fontId="2" fillId="44" borderId="0" xfId="8726" applyFill="1"/>
    <xf numFmtId="0" fontId="2" fillId="44" borderId="66" xfId="8726" applyFill="1" applyBorder="1"/>
    <xf numFmtId="0" fontId="2" fillId="44" borderId="0" xfId="8726" applyFill="1" applyAlignment="1">
      <alignment horizontal="left"/>
    </xf>
    <xf numFmtId="0" fontId="2" fillId="48" borderId="86" xfId="8726" applyFill="1" applyBorder="1"/>
    <xf numFmtId="0" fontId="2" fillId="48" borderId="66" xfId="8726" applyFill="1" applyBorder="1"/>
    <xf numFmtId="49" fontId="100" fillId="48" borderId="66" xfId="8726" applyNumberFormat="1" applyFont="1" applyFill="1" applyBorder="1" applyAlignment="1">
      <alignment horizontal="right" vertical="top"/>
    </xf>
    <xf numFmtId="0" fontId="100" fillId="48" borderId="0" xfId="8726" applyFont="1" applyFill="1"/>
    <xf numFmtId="0" fontId="100" fillId="48" borderId="66" xfId="8726" applyFont="1" applyFill="1" applyBorder="1"/>
    <xf numFmtId="0" fontId="100" fillId="48" borderId="41" xfId="8726" applyFont="1" applyFill="1" applyBorder="1" applyAlignment="1">
      <alignment horizontal="center"/>
    </xf>
    <xf numFmtId="0" fontId="101" fillId="48" borderId="0" xfId="8726" applyFont="1" applyFill="1"/>
    <xf numFmtId="0" fontId="2" fillId="48" borderId="69" xfId="8726" applyFill="1" applyBorder="1"/>
    <xf numFmtId="168" fontId="157" fillId="48" borderId="68" xfId="700" applyNumberFormat="1" applyFont="1" applyFill="1" applyBorder="1" applyAlignment="1" applyProtection="1">
      <protection locked="0"/>
    </xf>
    <xf numFmtId="0" fontId="162" fillId="48" borderId="0" xfId="8726" applyFont="1" applyFill="1"/>
    <xf numFmtId="0" fontId="147" fillId="47" borderId="91" xfId="8726" applyFont="1" applyFill="1" applyBorder="1" applyAlignment="1">
      <alignment horizontal="center"/>
    </xf>
    <xf numFmtId="0" fontId="147" fillId="47" borderId="11" xfId="8726" applyFont="1" applyFill="1" applyBorder="1" applyAlignment="1">
      <alignment horizontal="center"/>
    </xf>
    <xf numFmtId="0" fontId="161" fillId="47" borderId="91" xfId="8726" applyFont="1" applyFill="1" applyBorder="1"/>
    <xf numFmtId="0" fontId="161" fillId="47" borderId="11" xfId="8726" applyFont="1" applyFill="1" applyBorder="1"/>
    <xf numFmtId="0" fontId="2" fillId="45" borderId="69" xfId="8726" applyFill="1" applyBorder="1"/>
    <xf numFmtId="0" fontId="2" fillId="45" borderId="68" xfId="8726" applyFill="1" applyBorder="1"/>
    <xf numFmtId="0" fontId="100" fillId="45" borderId="68" xfId="8726" applyFont="1" applyFill="1" applyBorder="1"/>
    <xf numFmtId="0" fontId="100" fillId="45" borderId="67" xfId="8726" applyFont="1" applyFill="1" applyBorder="1"/>
    <xf numFmtId="0" fontId="100" fillId="45" borderId="69" xfId="8726" applyFont="1" applyFill="1" applyBorder="1"/>
    <xf numFmtId="0" fontId="2" fillId="48" borderId="0" xfId="8726" applyFill="1" applyAlignment="1">
      <alignment horizontal="left"/>
    </xf>
    <xf numFmtId="0" fontId="151" fillId="48" borderId="0" xfId="8726" applyFont="1" applyFill="1"/>
    <xf numFmtId="0" fontId="100" fillId="45" borderId="89" xfId="8726" applyFont="1" applyFill="1" applyBorder="1"/>
    <xf numFmtId="0" fontId="100" fillId="45" borderId="76" xfId="8726" applyFont="1" applyFill="1" applyBorder="1"/>
    <xf numFmtId="0" fontId="100" fillId="45" borderId="75" xfId="8726" applyFont="1" applyFill="1" applyBorder="1"/>
    <xf numFmtId="0" fontId="100" fillId="45" borderId="31" xfId="8726" applyFont="1" applyFill="1" applyBorder="1"/>
    <xf numFmtId="0" fontId="100" fillId="45" borderId="29" xfId="8726" applyFont="1" applyFill="1" applyBorder="1"/>
    <xf numFmtId="0" fontId="100" fillId="45" borderId="65" xfId="8726" applyFont="1" applyFill="1" applyBorder="1"/>
    <xf numFmtId="0" fontId="2" fillId="45" borderId="83" xfId="8726" applyFill="1" applyBorder="1"/>
    <xf numFmtId="0" fontId="2" fillId="45" borderId="82" xfId="8726" applyFill="1" applyBorder="1"/>
    <xf numFmtId="0" fontId="2" fillId="45" borderId="81" xfId="8726" applyFill="1" applyBorder="1"/>
    <xf numFmtId="0" fontId="100" fillId="45" borderId="81" xfId="8726" applyFont="1" applyFill="1" applyBorder="1"/>
    <xf numFmtId="0" fontId="2" fillId="45" borderId="31" xfId="8726" applyFill="1" applyBorder="1"/>
    <xf numFmtId="0" fontId="2" fillId="45" borderId="29" xfId="8726" applyFill="1" applyBorder="1"/>
    <xf numFmtId="0" fontId="2" fillId="45" borderId="67" xfId="8726" applyFill="1" applyBorder="1"/>
    <xf numFmtId="0" fontId="84" fillId="0" borderId="0" xfId="8726" applyFont="1"/>
    <xf numFmtId="0" fontId="2" fillId="45" borderId="99" xfId="8726" applyFill="1" applyBorder="1"/>
    <xf numFmtId="0" fontId="2" fillId="45" borderId="65" xfId="8726" applyFill="1" applyBorder="1"/>
    <xf numFmtId="0" fontId="100" fillId="45" borderId="28" xfId="8726" applyFont="1" applyFill="1" applyBorder="1"/>
    <xf numFmtId="0" fontId="2" fillId="52" borderId="101" xfId="8726" applyFill="1" applyBorder="1"/>
    <xf numFmtId="0" fontId="2" fillId="51" borderId="101" xfId="8726" applyFill="1" applyBorder="1"/>
    <xf numFmtId="0" fontId="100" fillId="50" borderId="100" xfId="8726" applyFont="1" applyFill="1" applyBorder="1"/>
    <xf numFmtId="0" fontId="100" fillId="0" borderId="0" xfId="8726" applyFont="1"/>
    <xf numFmtId="0" fontId="100" fillId="48" borderId="41" xfId="8726" applyFont="1" applyFill="1" applyBorder="1"/>
    <xf numFmtId="0" fontId="149" fillId="48" borderId="0" xfId="8726" applyFont="1" applyFill="1"/>
    <xf numFmtId="182" fontId="163" fillId="48" borderId="0" xfId="8727" applyNumberFormat="1" applyFont="1" applyFill="1" applyBorder="1" applyAlignment="1"/>
    <xf numFmtId="0" fontId="21" fillId="0" borderId="4" xfId="569" applyFont="1" applyBorder="1" applyAlignment="1">
      <alignment horizontal="center"/>
    </xf>
    <xf numFmtId="43" fontId="21" fillId="0" borderId="0" xfId="4504" applyFont="1" applyAlignment="1" applyProtection="1">
      <alignment horizontal="center"/>
    </xf>
    <xf numFmtId="0" fontId="21" fillId="0" borderId="0" xfId="569" applyFont="1" applyAlignment="1">
      <alignment horizontal="center" vertical="center"/>
    </xf>
    <xf numFmtId="0" fontId="21" fillId="0" borderId="16" xfId="569" applyFont="1" applyBorder="1" applyAlignment="1">
      <alignment horizontal="center"/>
    </xf>
    <xf numFmtId="49" fontId="21" fillId="0" borderId="4" xfId="569" applyNumberFormat="1" applyFont="1" applyBorder="1" applyAlignment="1">
      <alignment horizontal="center"/>
    </xf>
    <xf numFmtId="4" fontId="21" fillId="0" borderId="0" xfId="569" applyNumberFormat="1" applyFont="1" applyAlignment="1">
      <alignment horizontal="center"/>
    </xf>
    <xf numFmtId="0" fontId="14" fillId="0" borderId="0" xfId="569" applyAlignment="1">
      <alignment horizontal="center" wrapText="1"/>
    </xf>
    <xf numFmtId="0" fontId="0" fillId="5" borderId="6" xfId="0" applyFill="1" applyBorder="1" applyAlignment="1" applyProtection="1">
      <alignment horizontal="left"/>
      <protection locked="0"/>
    </xf>
    <xf numFmtId="166" fontId="23" fillId="5" borderId="4" xfId="0" applyNumberFormat="1" applyFont="1" applyFill="1" applyBorder="1" applyAlignment="1" applyProtection="1">
      <alignment horizontal="left"/>
      <protection locked="0"/>
    </xf>
    <xf numFmtId="0" fontId="14" fillId="5" borderId="4" xfId="0" applyFont="1" applyFill="1" applyBorder="1" applyAlignment="1" applyProtection="1">
      <alignment horizontal="left"/>
      <protection locked="0"/>
    </xf>
    <xf numFmtId="166" fontId="14" fillId="5" borderId="4" xfId="0" applyNumberFormat="1" applyFont="1" applyFill="1" applyBorder="1" applyAlignment="1" applyProtection="1">
      <alignment horizontal="left"/>
      <protection locked="0"/>
    </xf>
    <xf numFmtId="0" fontId="14" fillId="5" borderId="6" xfId="0" applyFont="1" applyFill="1" applyBorder="1" applyAlignment="1" applyProtection="1">
      <alignment horizontal="left"/>
      <protection locked="0"/>
    </xf>
    <xf numFmtId="0" fontId="14" fillId="5" borderId="6" xfId="1192" applyFill="1" applyBorder="1" applyAlignment="1" applyProtection="1">
      <alignment horizontal="left"/>
      <protection locked="0"/>
    </xf>
    <xf numFmtId="0" fontId="96" fillId="0" borderId="6" xfId="4496" applyFont="1" applyBorder="1" applyAlignment="1">
      <alignment horizontal="left" vertical="top"/>
    </xf>
    <xf numFmtId="172" fontId="116" fillId="0" borderId="0" xfId="0" applyNumberFormat="1" applyFont="1" applyAlignment="1">
      <alignment horizontal="center"/>
    </xf>
    <xf numFmtId="3" fontId="21" fillId="0" borderId="0" xfId="0" applyNumberFormat="1" applyFont="1"/>
    <xf numFmtId="0" fontId="14" fillId="0" borderId="0" xfId="0" applyFont="1" applyAlignment="1">
      <alignment horizontal="left" vertical="top" wrapText="1"/>
    </xf>
    <xf numFmtId="0" fontId="15" fillId="0" borderId="0" xfId="244"/>
    <xf numFmtId="0" fontId="0" fillId="0" borderId="0" xfId="0"/>
    <xf numFmtId="0" fontId="14" fillId="0" borderId="0" xfId="1192" applyAlignment="1">
      <alignment horizontal="left" vertical="top" wrapText="1"/>
    </xf>
    <xf numFmtId="0" fontId="21" fillId="0" borderId="0" xfId="0" applyFont="1" applyAlignment="1">
      <alignment horizontal="left" vertical="top" wrapText="1"/>
    </xf>
    <xf numFmtId="0" fontId="43" fillId="0" borderId="0" xfId="0" applyFont="1" applyAlignment="1">
      <alignment horizontal="left" vertical="top" wrapText="1"/>
    </xf>
    <xf numFmtId="0" fontId="14" fillId="0" borderId="0" xfId="0" applyFont="1" applyAlignment="1">
      <alignment horizontal="left" wrapText="1"/>
    </xf>
    <xf numFmtId="0" fontId="15" fillId="0" borderId="0" xfId="244" applyAlignment="1" applyProtection="1">
      <alignment horizontal="left"/>
    </xf>
    <xf numFmtId="0" fontId="111" fillId="0" borderId="0" xfId="0" applyFont="1" applyAlignment="1">
      <alignment horizontal="left" wrapText="1"/>
    </xf>
    <xf numFmtId="0" fontId="23" fillId="0" borderId="0" xfId="0" applyFont="1" applyAlignment="1">
      <alignment horizontal="left" wrapText="1"/>
    </xf>
    <xf numFmtId="0" fontId="20" fillId="3" borderId="0" xfId="0" applyFont="1" applyFill="1" applyAlignment="1">
      <alignment horizontal="center" vertical="center" wrapText="1"/>
    </xf>
    <xf numFmtId="0" fontId="20" fillId="3" borderId="16" xfId="0" applyFont="1" applyFill="1" applyBorder="1" applyAlignment="1">
      <alignment horizontal="center" vertical="center" wrapText="1"/>
    </xf>
    <xf numFmtId="0" fontId="103" fillId="0" borderId="0" xfId="0" applyFont="1" applyAlignment="1">
      <alignment horizontal="left" vertical="top" wrapText="1"/>
    </xf>
    <xf numFmtId="0" fontId="32" fillId="0" borderId="0" xfId="569" applyFont="1" applyAlignment="1">
      <alignment horizontal="left"/>
    </xf>
    <xf numFmtId="4" fontId="14" fillId="0" borderId="0" xfId="569" applyNumberFormat="1" applyAlignment="1">
      <alignment horizontal="left"/>
    </xf>
    <xf numFmtId="0" fontId="14" fillId="0" borderId="0" xfId="569" applyAlignment="1">
      <alignment horizontal="left" vertical="top" wrapText="1"/>
    </xf>
    <xf numFmtId="4" fontId="32" fillId="0" borderId="0" xfId="569" applyNumberFormat="1" applyFont="1" applyAlignment="1">
      <alignment horizontal="left" vertical="top" wrapText="1"/>
    </xf>
    <xf numFmtId="4" fontId="14" fillId="0" borderId="0" xfId="569" applyNumberFormat="1" applyAlignment="1">
      <alignment horizontal="left" vertical="top" wrapText="1"/>
    </xf>
    <xf numFmtId="0" fontId="23" fillId="0" borderId="0" xfId="0" applyFont="1" applyAlignment="1">
      <alignment horizontal="left" vertical="top"/>
    </xf>
    <xf numFmtId="0" fontId="32" fillId="0" borderId="0" xfId="0" applyFont="1" applyAlignment="1">
      <alignment horizontal="left"/>
    </xf>
    <xf numFmtId="0" fontId="14" fillId="0" borderId="0" xfId="0" applyFont="1" applyAlignment="1">
      <alignment horizontal="left"/>
    </xf>
    <xf numFmtId="0" fontId="21" fillId="0" borderId="4" xfId="569" applyFont="1" applyBorder="1" applyAlignment="1">
      <alignment horizontal="left"/>
    </xf>
    <xf numFmtId="0" fontId="21" fillId="0" borderId="4" xfId="569" applyFont="1" applyBorder="1" applyAlignment="1">
      <alignment horizontal="left" vertical="top"/>
    </xf>
    <xf numFmtId="0" fontId="32" fillId="0" borderId="0" xfId="0" applyFont="1" applyAlignment="1">
      <alignment horizontal="left" wrapText="1"/>
    </xf>
    <xf numFmtId="0" fontId="14" fillId="0" borderId="0" xfId="0" applyFont="1" applyAlignment="1">
      <alignment horizontal="left" vertical="top"/>
    </xf>
    <xf numFmtId="0" fontId="21" fillId="0" borderId="0" xfId="0" applyFont="1" applyAlignment="1">
      <alignment horizontal="left"/>
    </xf>
    <xf numFmtId="0" fontId="23" fillId="0" borderId="0" xfId="0" applyFont="1" applyAlignment="1">
      <alignment horizontal="left"/>
    </xf>
    <xf numFmtId="0" fontId="15" fillId="0" borderId="0" xfId="244" quotePrefix="1" applyAlignment="1" applyProtection="1">
      <alignment horizontal="left"/>
    </xf>
    <xf numFmtId="0" fontId="21" fillId="0" borderId="4" xfId="0" applyFont="1" applyBorder="1" applyAlignment="1">
      <alignment horizontal="left"/>
    </xf>
    <xf numFmtId="0" fontId="32" fillId="0" borderId="0" xfId="569" applyFont="1" applyAlignment="1">
      <alignment horizontal="left" vertical="top"/>
    </xf>
    <xf numFmtId="0" fontId="14" fillId="0" borderId="0" xfId="569" applyAlignment="1">
      <alignment horizontal="left" vertical="top"/>
    </xf>
    <xf numFmtId="0" fontId="21" fillId="0" borderId="0" xfId="569" applyFont="1" applyAlignment="1">
      <alignment horizontal="left" vertical="top"/>
    </xf>
    <xf numFmtId="0" fontId="32" fillId="0" borderId="0" xfId="0" applyFont="1" applyAlignment="1">
      <alignment horizontal="left" vertical="top" wrapText="1"/>
    </xf>
    <xf numFmtId="4" fontId="14" fillId="0" borderId="0" xfId="0" applyNumberFormat="1" applyFont="1" applyAlignment="1">
      <alignment horizontal="left" vertical="top" wrapText="1"/>
    </xf>
    <xf numFmtId="4" fontId="32" fillId="0" borderId="0" xfId="0" applyNumberFormat="1" applyFont="1" applyAlignment="1">
      <alignment horizontal="left"/>
    </xf>
    <xf numFmtId="4" fontId="15" fillId="0" borderId="0" xfId="244" applyNumberFormat="1" applyFill="1" applyAlignment="1" applyProtection="1">
      <alignment horizontal="left"/>
    </xf>
    <xf numFmtId="0" fontId="14" fillId="0" borderId="0" xfId="271" applyFont="1" applyAlignment="1">
      <alignment horizontal="left" vertical="top" wrapText="1"/>
    </xf>
    <xf numFmtId="4" fontId="14" fillId="0" borderId="0" xfId="1192" applyNumberFormat="1" applyAlignment="1">
      <alignment horizontal="left" vertical="top" wrapText="1"/>
    </xf>
    <xf numFmtId="0" fontId="32" fillId="0" borderId="0" xfId="0" applyFont="1" applyAlignment="1">
      <alignment horizontal="center"/>
    </xf>
    <xf numFmtId="0" fontId="0" fillId="0" borderId="0" xfId="0" applyAlignment="1">
      <alignment horizontal="center"/>
    </xf>
    <xf numFmtId="0" fontId="21" fillId="0" borderId="0" xfId="0" applyFont="1" applyAlignment="1">
      <alignment horizontal="center"/>
    </xf>
    <xf numFmtId="49" fontId="14" fillId="0" borderId="0" xfId="0" applyNumberFormat="1" applyFont="1" applyAlignment="1">
      <alignment horizontal="left" vertical="top" wrapText="1"/>
    </xf>
    <xf numFmtId="49" fontId="14" fillId="0" borderId="0" xfId="1192" applyNumberFormat="1" applyAlignment="1">
      <alignment horizontal="left" vertical="top" wrapText="1"/>
    </xf>
    <xf numFmtId="0" fontId="32" fillId="0" borderId="0" xfId="569" applyFont="1" applyAlignment="1">
      <alignment horizontal="left" vertical="top" wrapText="1"/>
    </xf>
    <xf numFmtId="0" fontId="14" fillId="0" borderId="0" xfId="569" applyAlignment="1">
      <alignment horizontal="left"/>
    </xf>
    <xf numFmtId="0" fontId="15" fillId="0" borderId="0" xfId="244" applyAlignment="1">
      <alignment horizontal="left"/>
    </xf>
    <xf numFmtId="0" fontId="21" fillId="0" borderId="16" xfId="0" applyFont="1" applyBorder="1" applyAlignment="1">
      <alignment horizontal="left"/>
    </xf>
    <xf numFmtId="0" fontId="14" fillId="0" borderId="27" xfId="0" applyFont="1" applyBorder="1" applyAlignment="1">
      <alignment horizontal="left"/>
    </xf>
    <xf numFmtId="0" fontId="14" fillId="0" borderId="0" xfId="1192" applyAlignment="1">
      <alignment horizontal="left"/>
    </xf>
    <xf numFmtId="0" fontId="0" fillId="0" borderId="0" xfId="0" applyAlignment="1">
      <alignment horizontal="left" vertical="top" wrapText="1"/>
    </xf>
    <xf numFmtId="0" fontId="14" fillId="0" borderId="0" xfId="271" applyFont="1" applyAlignment="1" applyProtection="1">
      <alignment horizontal="left" vertical="top" wrapText="1"/>
      <protection locked="0"/>
    </xf>
    <xf numFmtId="0" fontId="32" fillId="0" borderId="0" xfId="1192" applyFont="1" applyAlignment="1">
      <alignment horizontal="left"/>
    </xf>
    <xf numFmtId="0" fontId="21" fillId="0" borderId="0" xfId="271" applyFont="1" applyAlignment="1">
      <alignment horizontal="left" vertical="top" wrapText="1"/>
    </xf>
    <xf numFmtId="0" fontId="112" fillId="0" borderId="0" xfId="569" applyFont="1" applyAlignment="1">
      <alignment horizontal="center"/>
    </xf>
    <xf numFmtId="0" fontId="113" fillId="0" borderId="0" xfId="569" applyFont="1"/>
    <xf numFmtId="0" fontId="14" fillId="0" borderId="0" xfId="569" applyAlignment="1">
      <alignment wrapText="1"/>
    </xf>
    <xf numFmtId="0" fontId="21" fillId="0" borderId="0" xfId="569" applyFont="1" applyAlignment="1">
      <alignment wrapText="1"/>
    </xf>
    <xf numFmtId="0" fontId="29" fillId="0" borderId="0" xfId="569" applyFont="1" applyAlignment="1">
      <alignment horizontal="center"/>
    </xf>
    <xf numFmtId="0" fontId="14" fillId="0" borderId="0" xfId="569"/>
    <xf numFmtId="0" fontId="14" fillId="0" borderId="0" xfId="1192" applyAlignment="1">
      <alignment vertical="top" wrapText="1"/>
    </xf>
    <xf numFmtId="0" fontId="32" fillId="0" borderId="0" xfId="569" applyFont="1" applyAlignment="1">
      <alignment horizontal="center"/>
    </xf>
    <xf numFmtId="0" fontId="21" fillId="0" borderId="0" xfId="569" applyFont="1" applyAlignment="1">
      <alignment horizontal="center"/>
    </xf>
    <xf numFmtId="0" fontId="14" fillId="0" borderId="15" xfId="569" applyBorder="1" applyAlignment="1">
      <alignment horizontal="center" vertical="top" wrapText="1"/>
    </xf>
    <xf numFmtId="0" fontId="14" fillId="0" borderId="14" xfId="569" applyBorder="1" applyAlignment="1">
      <alignment horizontal="center" vertical="top" wrapText="1"/>
    </xf>
    <xf numFmtId="0" fontId="14" fillId="0" borderId="13" xfId="569" applyBorder="1" applyAlignment="1">
      <alignment horizontal="center" vertical="top" wrapText="1"/>
    </xf>
    <xf numFmtId="0" fontId="14" fillId="0" borderId="0" xfId="1192" applyAlignment="1" applyProtection="1">
      <alignment horizontal="left" vertical="top" wrapText="1"/>
      <protection locked="0"/>
    </xf>
    <xf numFmtId="0" fontId="14" fillId="0" borderId="27" xfId="569" applyBorder="1" applyAlignment="1">
      <alignment horizontal="left"/>
    </xf>
    <xf numFmtId="0" fontId="15" fillId="0" borderId="0" xfId="244" applyAlignment="1" applyProtection="1">
      <alignment horizontal="left" vertical="top" wrapText="1"/>
    </xf>
    <xf numFmtId="0" fontId="21" fillId="0" borderId="0" xfId="569" applyFont="1" applyAlignment="1">
      <alignment horizontal="left"/>
    </xf>
    <xf numFmtId="0" fontId="21" fillId="0" borderId="4" xfId="0" applyFont="1" applyBorder="1" applyAlignment="1">
      <alignment horizontal="left" vertical="top"/>
    </xf>
    <xf numFmtId="0" fontId="21" fillId="0" borderId="16" xfId="569" applyFont="1" applyBorder="1" applyAlignment="1">
      <alignment horizontal="left"/>
    </xf>
    <xf numFmtId="0" fontId="14" fillId="0" borderId="0" xfId="569" applyAlignment="1">
      <alignment horizontal="left" vertical="center" wrapText="1"/>
    </xf>
    <xf numFmtId="0" fontId="21" fillId="0" borderId="0" xfId="0" applyFont="1" applyAlignment="1">
      <alignment horizontal="left" vertical="top"/>
    </xf>
    <xf numFmtId="0" fontId="15" fillId="0" borderId="0" xfId="244" applyNumberFormat="1" applyFill="1" applyAlignment="1" applyProtection="1">
      <alignment horizontal="left"/>
    </xf>
    <xf numFmtId="0" fontId="32" fillId="0" borderId="0" xfId="569" applyFont="1" applyAlignment="1">
      <alignment horizontal="left" wrapText="1"/>
    </xf>
    <xf numFmtId="0" fontId="32" fillId="0" borderId="0" xfId="569" applyFont="1" applyAlignment="1">
      <alignment horizontal="center" wrapText="1"/>
    </xf>
    <xf numFmtId="0" fontId="14" fillId="0" borderId="0" xfId="0" quotePrefix="1" applyFont="1" applyAlignment="1">
      <alignment horizontal="left" vertical="top"/>
    </xf>
    <xf numFmtId="0" fontId="14" fillId="0" borderId="0" xfId="0" quotePrefix="1" applyFont="1" applyAlignment="1">
      <alignment horizontal="left" vertical="top" wrapText="1"/>
    </xf>
    <xf numFmtId="0" fontId="14" fillId="0" borderId="0" xfId="569" applyAlignment="1">
      <alignment vertical="top" wrapText="1"/>
    </xf>
    <xf numFmtId="4" fontId="32" fillId="0" borderId="0" xfId="0" applyNumberFormat="1" applyFont="1" applyAlignment="1">
      <alignment horizontal="left" vertical="top" wrapText="1"/>
    </xf>
    <xf numFmtId="0" fontId="32" fillId="0" borderId="0" xfId="1192" applyFont="1" applyAlignment="1">
      <alignment horizontal="left" vertical="top" wrapText="1"/>
    </xf>
    <xf numFmtId="0" fontId="21" fillId="0" borderId="0" xfId="1192" applyFont="1" applyAlignment="1">
      <alignment horizontal="left" vertical="top" wrapText="1"/>
    </xf>
    <xf numFmtId="4" fontId="14" fillId="0" borderId="0" xfId="0" applyNumberFormat="1" applyFont="1" applyAlignment="1">
      <alignment horizontal="left"/>
    </xf>
    <xf numFmtId="0" fontId="21" fillId="0" borderId="0" xfId="0" applyFont="1" applyAlignment="1">
      <alignment vertical="top" wrapText="1"/>
    </xf>
    <xf numFmtId="0" fontId="14" fillId="0" borderId="0" xfId="0" applyFont="1" applyAlignment="1">
      <alignment horizontal="left" vertical="center" wrapText="1"/>
    </xf>
    <xf numFmtId="0" fontId="14" fillId="0" borderId="0" xfId="569" applyAlignment="1">
      <alignment horizontal="left" wrapText="1"/>
    </xf>
    <xf numFmtId="0" fontId="14" fillId="0" borderId="0" xfId="0" applyFont="1" applyAlignment="1">
      <alignment vertical="top" wrapText="1"/>
    </xf>
    <xf numFmtId="0" fontId="15" fillId="0" borderId="0" xfId="244" applyFill="1" applyBorder="1" applyAlignment="1">
      <alignment horizontal="left" vertical="top" wrapText="1"/>
    </xf>
    <xf numFmtId="0" fontId="32" fillId="0" borderId="0" xfId="0" applyFont="1" applyAlignment="1">
      <alignment horizontal="left" vertical="top"/>
    </xf>
    <xf numFmtId="0" fontId="23" fillId="5" borderId="3" xfId="0" applyFont="1" applyFill="1" applyBorder="1" applyAlignment="1" applyProtection="1">
      <alignment horizontal="center"/>
      <protection locked="0"/>
    </xf>
    <xf numFmtId="0" fontId="23" fillId="5" borderId="4" xfId="0" applyFont="1" applyFill="1" applyBorder="1" applyAlignment="1" applyProtection="1">
      <alignment horizontal="center"/>
      <protection locked="0"/>
    </xf>
    <xf numFmtId="0" fontId="23" fillId="5" borderId="5" xfId="0" applyFont="1" applyFill="1" applyBorder="1" applyAlignment="1" applyProtection="1">
      <alignment horizontal="center"/>
      <protection locked="0"/>
    </xf>
    <xf numFmtId="168" fontId="23" fillId="0" borderId="3" xfId="0" applyNumberFormat="1" applyFont="1" applyBorder="1" applyAlignment="1">
      <alignment horizontal="center"/>
    </xf>
    <xf numFmtId="168" fontId="23" fillId="0" borderId="4" xfId="0" applyNumberFormat="1" applyFont="1" applyBorder="1" applyAlignment="1">
      <alignment horizontal="center"/>
    </xf>
    <xf numFmtId="168" fontId="23" fillId="0" borderId="5" xfId="0" applyNumberFormat="1" applyFont="1" applyBorder="1" applyAlignment="1">
      <alignment horizontal="center"/>
    </xf>
    <xf numFmtId="165" fontId="23" fillId="0" borderId="1" xfId="0" applyNumberFormat="1" applyFont="1" applyBorder="1" applyAlignment="1">
      <alignment horizontal="right"/>
    </xf>
    <xf numFmtId="165" fontId="23" fillId="0" borderId="2" xfId="0" applyNumberFormat="1" applyFont="1" applyBorder="1" applyAlignment="1">
      <alignment horizontal="right"/>
    </xf>
    <xf numFmtId="165" fontId="23" fillId="0" borderId="7" xfId="0" applyNumberFormat="1" applyFont="1" applyBorder="1" applyAlignment="1">
      <alignment horizontal="right"/>
    </xf>
    <xf numFmtId="1" fontId="23" fillId="5" borderId="3" xfId="0" applyNumberFormat="1" applyFont="1" applyFill="1" applyBorder="1" applyAlignment="1" applyProtection="1">
      <alignment horizontal="center"/>
      <protection locked="0"/>
    </xf>
    <xf numFmtId="1" fontId="23" fillId="5" borderId="4" xfId="0" applyNumberFormat="1" applyFont="1" applyFill="1" applyBorder="1" applyAlignment="1" applyProtection="1">
      <alignment horizontal="center"/>
      <protection locked="0"/>
    </xf>
    <xf numFmtId="1" fontId="23" fillId="5" borderId="5" xfId="0" applyNumberFormat="1" applyFont="1" applyFill="1" applyBorder="1" applyAlignment="1" applyProtection="1">
      <alignment horizontal="center"/>
      <protection locked="0"/>
    </xf>
    <xf numFmtId="0" fontId="14" fillId="0" borderId="1" xfId="0" applyFont="1" applyBorder="1" applyAlignment="1">
      <alignment horizontal="center" vertical="top" wrapText="1"/>
    </xf>
    <xf numFmtId="0" fontId="23" fillId="0" borderId="2" xfId="0" applyFont="1" applyBorder="1" applyAlignment="1">
      <alignment horizontal="center" vertical="top" wrapText="1"/>
    </xf>
    <xf numFmtId="0" fontId="23" fillId="0" borderId="7" xfId="0" applyFont="1" applyBorder="1" applyAlignment="1">
      <alignment horizontal="center" vertical="top" wrapText="1"/>
    </xf>
    <xf numFmtId="0" fontId="23" fillId="0" borderId="8" xfId="0" applyFont="1" applyBorder="1" applyAlignment="1">
      <alignment horizontal="center" vertical="top" wrapText="1"/>
    </xf>
    <xf numFmtId="0" fontId="23" fillId="0" borderId="0" xfId="0" applyFont="1" applyAlignment="1">
      <alignment horizontal="center" vertical="top" wrapText="1"/>
    </xf>
    <xf numFmtId="0" fontId="23" fillId="0" borderId="12" xfId="0" applyFont="1" applyBorder="1" applyAlignment="1">
      <alignment horizontal="center" vertical="top" wrapText="1"/>
    </xf>
    <xf numFmtId="0" fontId="23" fillId="0" borderId="9" xfId="0" applyFont="1" applyBorder="1" applyAlignment="1">
      <alignment horizontal="center" vertical="top" wrapText="1"/>
    </xf>
    <xf numFmtId="0" fontId="23" fillId="0" borderId="6" xfId="0" applyFont="1" applyBorder="1" applyAlignment="1">
      <alignment horizontal="center" vertical="top" wrapText="1"/>
    </xf>
    <xf numFmtId="0" fontId="23" fillId="0" borderId="10" xfId="0" applyFont="1" applyBorder="1" applyAlignment="1">
      <alignment horizontal="center" vertical="top" wrapText="1"/>
    </xf>
    <xf numFmtId="168" fontId="23" fillId="5" borderId="3" xfId="0" applyNumberFormat="1" applyFont="1" applyFill="1" applyBorder="1" applyAlignment="1" applyProtection="1">
      <alignment horizontal="center"/>
      <protection locked="0"/>
    </xf>
    <xf numFmtId="168" fontId="23" fillId="5" borderId="4" xfId="0" applyNumberFormat="1" applyFont="1" applyFill="1" applyBorder="1" applyAlignment="1" applyProtection="1">
      <alignment horizontal="center"/>
      <protection locked="0"/>
    </xf>
    <xf numFmtId="168" fontId="23" fillId="5" borderId="5" xfId="0" applyNumberFormat="1" applyFont="1" applyFill="1" applyBorder="1" applyAlignment="1" applyProtection="1">
      <alignment horizontal="center"/>
      <protection locked="0"/>
    </xf>
    <xf numFmtId="9" fontId="23" fillId="5" borderId="3" xfId="0" applyNumberFormat="1" applyFont="1" applyFill="1" applyBorder="1" applyAlignment="1" applyProtection="1">
      <alignment horizontal="center"/>
      <protection locked="0"/>
    </xf>
    <xf numFmtId="9" fontId="23" fillId="5" borderId="4" xfId="0" applyNumberFormat="1" applyFont="1" applyFill="1" applyBorder="1" applyAlignment="1" applyProtection="1">
      <alignment horizontal="center"/>
      <protection locked="0"/>
    </xf>
    <xf numFmtId="9" fontId="23" fillId="5" borderId="5" xfId="0" applyNumberFormat="1" applyFont="1" applyFill="1" applyBorder="1" applyAlignment="1" applyProtection="1">
      <alignment horizontal="center"/>
      <protection locked="0"/>
    </xf>
    <xf numFmtId="0" fontId="14"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11" xfId="0"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14" fillId="0" borderId="5" xfId="0" applyFont="1" applyBorder="1" applyAlignment="1">
      <alignment horizontal="center"/>
    </xf>
    <xf numFmtId="0" fontId="0" fillId="5" borderId="6" xfId="0" applyFill="1" applyBorder="1" applyAlignment="1" applyProtection="1">
      <alignment horizontal="lef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3" fillId="5" borderId="4" xfId="0" applyFont="1" applyFill="1" applyBorder="1" applyAlignment="1" applyProtection="1">
      <alignment horizontal="left"/>
      <protection locked="0"/>
    </xf>
    <xf numFmtId="0" fontId="14" fillId="5" borderId="4"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23" fillId="2" borderId="11" xfId="0" applyFont="1" applyFill="1" applyBorder="1" applyAlignment="1">
      <alignment horizontal="center"/>
    </xf>
    <xf numFmtId="0" fontId="23" fillId="45" borderId="3" xfId="0" applyFont="1" applyFill="1" applyBorder="1" applyAlignment="1">
      <alignment horizontal="center"/>
    </xf>
    <xf numFmtId="0" fontId="23" fillId="45" borderId="4" xfId="0" applyFont="1" applyFill="1" applyBorder="1" applyAlignment="1">
      <alignment horizontal="center"/>
    </xf>
    <xf numFmtId="0" fontId="23" fillId="45" borderId="5" xfId="0" applyFont="1" applyFill="1" applyBorder="1" applyAlignment="1">
      <alignment horizontal="center"/>
    </xf>
    <xf numFmtId="0" fontId="23" fillId="45" borderId="11" xfId="0" applyFont="1" applyFill="1" applyBorder="1" applyAlignment="1">
      <alignment horizontal="center"/>
    </xf>
    <xf numFmtId="0" fontId="14" fillId="0" borderId="11" xfId="0" applyFont="1" applyBorder="1" applyAlignment="1">
      <alignment horizontal="center"/>
    </xf>
    <xf numFmtId="180" fontId="22" fillId="43" borderId="3" xfId="0" applyNumberFormat="1" applyFont="1" applyFill="1" applyBorder="1" applyAlignment="1" applyProtection="1">
      <alignment horizontal="center" vertical="center"/>
      <protection locked="0"/>
    </xf>
    <xf numFmtId="180" fontId="22" fillId="43" borderId="4" xfId="0" applyNumberFormat="1" applyFont="1" applyFill="1" applyBorder="1" applyAlignment="1" applyProtection="1">
      <alignment horizontal="center" vertical="center"/>
      <protection locked="0"/>
    </xf>
    <xf numFmtId="180" fontId="22" fillId="43" borderId="5" xfId="0" applyNumberFormat="1" applyFont="1" applyFill="1" applyBorder="1" applyAlignment="1" applyProtection="1">
      <alignment horizontal="center" vertical="center"/>
      <protection locked="0"/>
    </xf>
    <xf numFmtId="0" fontId="23" fillId="0" borderId="3" xfId="0" applyFont="1" applyBorder="1" applyAlignment="1">
      <alignment horizontal="center"/>
    </xf>
    <xf numFmtId="0" fontId="23" fillId="0" borderId="5" xfId="0" applyFont="1" applyBorder="1" applyAlignment="1">
      <alignment horizontal="center"/>
    </xf>
    <xf numFmtId="168" fontId="170" fillId="0" borderId="0" xfId="0" applyNumberFormat="1" applyFont="1" applyAlignment="1">
      <alignment horizontal="center" vertical="center" wrapTex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0" xfId="0" applyFont="1" applyAlignment="1">
      <alignment horizontal="center" vertical="center" wrapText="1"/>
    </xf>
    <xf numFmtId="0" fontId="21" fillId="0" borderId="12"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0" xfId="0" applyFont="1" applyBorder="1" applyAlignment="1">
      <alignment horizontal="center" vertical="center" wrapText="1"/>
    </xf>
    <xf numFmtId="168" fontId="14" fillId="0" borderId="3" xfId="0" applyNumberFormat="1" applyFont="1" applyBorder="1" applyAlignment="1">
      <alignment horizontal="left" vertical="top"/>
    </xf>
    <xf numFmtId="168" fontId="14" fillId="0" borderId="4" xfId="0" applyNumberFormat="1" applyFont="1" applyBorder="1" applyAlignment="1">
      <alignment horizontal="left" vertical="top"/>
    </xf>
    <xf numFmtId="168" fontId="14" fillId="0" borderId="5" xfId="0" applyNumberFormat="1" applyFont="1" applyBorder="1" applyAlignment="1">
      <alignment horizontal="left" vertical="top"/>
    </xf>
    <xf numFmtId="1" fontId="23" fillId="5" borderId="3" xfId="0" applyNumberFormat="1" applyFont="1" applyFill="1" applyBorder="1" applyAlignment="1" applyProtection="1">
      <alignment horizontal="right" vertical="top"/>
      <protection locked="0"/>
    </xf>
    <xf numFmtId="1" fontId="23" fillId="5" borderId="4" xfId="0" applyNumberFormat="1" applyFont="1" applyFill="1" applyBorder="1" applyAlignment="1" applyProtection="1">
      <alignment horizontal="right" vertical="top"/>
      <protection locked="0"/>
    </xf>
    <xf numFmtId="1" fontId="23" fillId="5" borderId="5" xfId="0" applyNumberFormat="1" applyFont="1" applyFill="1" applyBorder="1" applyAlignment="1" applyProtection="1">
      <alignment horizontal="right" vertical="top"/>
      <protection locked="0"/>
    </xf>
    <xf numFmtId="0" fontId="14"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23" fillId="5" borderId="9" xfId="0" applyFont="1" applyFill="1" applyBorder="1" applyAlignment="1" applyProtection="1">
      <alignment horizontal="center"/>
      <protection locked="0"/>
    </xf>
    <xf numFmtId="0" fontId="23" fillId="5" borderId="6" xfId="0" applyFont="1" applyFill="1" applyBorder="1" applyAlignment="1" applyProtection="1">
      <alignment horizontal="center"/>
      <protection locked="0"/>
    </xf>
    <xf numFmtId="0" fontId="14" fillId="5" borderId="6" xfId="569" applyFill="1" applyBorder="1" applyAlignment="1" applyProtection="1">
      <alignment horizontal="left"/>
      <protection locked="0"/>
    </xf>
    <xf numFmtId="166" fontId="14" fillId="5" borderId="4" xfId="569" applyNumberFormat="1" applyFill="1" applyBorder="1" applyAlignment="1" applyProtection="1">
      <alignment horizontal="left"/>
      <protection locked="0"/>
    </xf>
    <xf numFmtId="0" fontId="14" fillId="5" borderId="4" xfId="569" applyFill="1" applyBorder="1" applyAlignment="1" applyProtection="1">
      <alignment horizontal="left"/>
      <protection locked="0"/>
    </xf>
    <xf numFmtId="175" fontId="14" fillId="43" borderId="3" xfId="0" applyNumberFormat="1" applyFont="1" applyFill="1" applyBorder="1" applyAlignment="1" applyProtection="1">
      <alignment horizontal="center" vertical="center"/>
      <protection locked="0"/>
    </xf>
    <xf numFmtId="175" fontId="14" fillId="43" borderId="4" xfId="0" applyNumberFormat="1" applyFont="1" applyFill="1" applyBorder="1" applyAlignment="1" applyProtection="1">
      <alignment horizontal="center" vertical="center"/>
      <protection locked="0"/>
    </xf>
    <xf numFmtId="175" fontId="14" fillId="43" borderId="5" xfId="0" applyNumberFormat="1" applyFont="1" applyFill="1" applyBorder="1" applyAlignment="1" applyProtection="1">
      <alignment horizontal="center" vertical="center"/>
      <protection locked="0"/>
    </xf>
    <xf numFmtId="0" fontId="21" fillId="0" borderId="3" xfId="0" applyFont="1" applyBorder="1" applyAlignment="1">
      <alignment horizontal="center"/>
    </xf>
    <xf numFmtId="0" fontId="21" fillId="0" borderId="4" xfId="0" applyFont="1" applyBorder="1" applyAlignment="1">
      <alignment horizontal="center"/>
    </xf>
    <xf numFmtId="0" fontId="21" fillId="0" borderId="5" xfId="0" applyFont="1" applyBorder="1" applyAlignment="1">
      <alignment horizontal="center"/>
    </xf>
    <xf numFmtId="0" fontId="0" fillId="0" borderId="12" xfId="0" applyBorder="1" applyAlignment="1">
      <alignment horizontal="center"/>
    </xf>
    <xf numFmtId="0" fontId="21" fillId="0" borderId="9" xfId="0" applyFont="1" applyBorder="1" applyAlignment="1">
      <alignment horizontal="center"/>
    </xf>
    <xf numFmtId="0" fontId="21" fillId="0" borderId="6" xfId="0" applyFont="1" applyBorder="1" applyAlignment="1">
      <alignment horizontal="center"/>
    </xf>
    <xf numFmtId="168" fontId="23" fillId="5" borderId="3" xfId="0" applyNumberFormat="1" applyFont="1" applyFill="1" applyBorder="1" applyAlignment="1" applyProtection="1">
      <alignment horizontal="left" vertical="top"/>
      <protection locked="0"/>
    </xf>
    <xf numFmtId="168" fontId="23" fillId="5" borderId="4" xfId="0" applyNumberFormat="1" applyFont="1" applyFill="1" applyBorder="1" applyAlignment="1" applyProtection="1">
      <alignment horizontal="left" vertical="top"/>
      <protection locked="0"/>
    </xf>
    <xf numFmtId="168" fontId="23" fillId="5" borderId="5" xfId="0" applyNumberFormat="1" applyFont="1" applyFill="1" applyBorder="1" applyAlignment="1" applyProtection="1">
      <alignment horizontal="left" vertical="top"/>
      <protection locked="0"/>
    </xf>
    <xf numFmtId="168" fontId="23" fillId="0" borderId="3" xfId="0" applyNumberFormat="1" applyFont="1" applyBorder="1" applyAlignment="1">
      <alignment horizontal="left" vertical="top"/>
    </xf>
    <xf numFmtId="168" fontId="23" fillId="0" borderId="4" xfId="0" applyNumberFormat="1" applyFont="1" applyBorder="1" applyAlignment="1">
      <alignment horizontal="left" vertical="top"/>
    </xf>
    <xf numFmtId="168" fontId="23" fillId="0" borderId="5" xfId="0" applyNumberFormat="1" applyFont="1" applyBorder="1" applyAlignment="1">
      <alignment horizontal="left" vertical="top"/>
    </xf>
    <xf numFmtId="0" fontId="21" fillId="0" borderId="10" xfId="0" applyFont="1" applyBorder="1" applyAlignment="1">
      <alignment horizontal="center"/>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3" fillId="5" borderId="11" xfId="0" applyFont="1" applyFill="1" applyBorder="1" applyAlignment="1" applyProtection="1">
      <alignment horizontal="center"/>
      <protection locked="0"/>
    </xf>
    <xf numFmtId="3" fontId="23" fillId="5" borderId="11" xfId="0" applyNumberFormat="1" applyFont="1" applyFill="1" applyBorder="1" applyAlignment="1" applyProtection="1">
      <alignment horizontal="center"/>
      <protection locked="0"/>
    </xf>
    <xf numFmtId="10" fontId="23"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23" fillId="0" borderId="11" xfId="0" applyNumberFormat="1" applyFont="1" applyBorder="1" applyAlignment="1">
      <alignment horizontal="center"/>
    </xf>
    <xf numFmtId="166" fontId="23" fillId="5" borderId="4" xfId="0" applyNumberFormat="1" applyFont="1" applyFill="1" applyBorder="1" applyAlignment="1" applyProtection="1">
      <alignment horizontal="left"/>
      <protection locked="0"/>
    </xf>
    <xf numFmtId="0" fontId="23" fillId="5" borderId="0" xfId="0" applyFont="1" applyFill="1" applyAlignment="1" applyProtection="1">
      <alignment horizontal="left" vertical="top" wrapText="1"/>
      <protection locked="0"/>
    </xf>
    <xf numFmtId="0" fontId="23" fillId="5" borderId="6" xfId="0" applyFont="1" applyFill="1" applyBorder="1" applyAlignment="1" applyProtection="1">
      <alignment horizontal="left" vertical="top" wrapText="1"/>
      <protection locked="0"/>
    </xf>
    <xf numFmtId="0" fontId="0" fillId="5" borderId="6" xfId="0" applyFill="1" applyBorder="1" applyAlignment="1" applyProtection="1">
      <alignment horizontal="center"/>
      <protection locked="0"/>
    </xf>
    <xf numFmtId="1" fontId="0" fillId="5" borderId="6" xfId="0" applyNumberFormat="1" applyFill="1" applyBorder="1" applyAlignment="1" applyProtection="1">
      <alignment horizontal="center"/>
      <protection locked="0"/>
    </xf>
    <xf numFmtId="0" fontId="0" fillId="5" borderId="0" xfId="0" applyFill="1" applyAlignment="1" applyProtection="1">
      <alignment horizontal="left" vertical="top" wrapText="1"/>
      <protection locked="0"/>
    </xf>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14" fillId="0" borderId="3" xfId="0" applyFont="1" applyBorder="1" applyAlignment="1">
      <alignment horizontal="left"/>
    </xf>
    <xf numFmtId="0" fontId="14" fillId="0" borderId="4" xfId="0" applyFont="1" applyBorder="1" applyAlignment="1">
      <alignment horizontal="left"/>
    </xf>
    <xf numFmtId="0" fontId="14" fillId="0" borderId="5" xfId="0" applyFont="1" applyBorder="1" applyAlignment="1">
      <alignment horizontal="left"/>
    </xf>
    <xf numFmtId="0" fontId="0" fillId="0" borderId="6" xfId="0" applyBorder="1" applyAlignment="1" applyProtection="1">
      <alignment horizontal="center"/>
      <protection locked="0"/>
    </xf>
    <xf numFmtId="49" fontId="0" fillId="5" borderId="6" xfId="0" applyNumberFormat="1" applyFill="1" applyBorder="1" applyAlignment="1" applyProtection="1">
      <alignment horizontal="center"/>
      <protection locked="0"/>
    </xf>
    <xf numFmtId="0" fontId="14" fillId="43" borderId="4" xfId="0" applyFont="1" applyFill="1" applyBorder="1" applyAlignment="1" applyProtection="1">
      <alignment horizontal="left" wrapText="1"/>
      <protection locked="0"/>
    </xf>
    <xf numFmtId="2" fontId="0" fillId="5" borderId="6" xfId="0" applyNumberFormat="1" applyFill="1" applyBorder="1" applyAlignment="1" applyProtection="1">
      <alignment horizontal="center"/>
      <protection locked="0"/>
    </xf>
    <xf numFmtId="0" fontId="23" fillId="5" borderId="4" xfId="0" applyFont="1" applyFill="1" applyBorder="1" applyAlignment="1" applyProtection="1">
      <alignment horizontal="right"/>
      <protection locked="0"/>
    </xf>
    <xf numFmtId="14" fontId="23" fillId="5" borderId="4" xfId="0" applyNumberFormat="1" applyFont="1" applyFill="1" applyBorder="1" applyAlignment="1" applyProtection="1">
      <alignment horizontal="right"/>
      <protection locked="0"/>
    </xf>
    <xf numFmtId="0" fontId="23" fillId="5" borderId="6" xfId="0" applyFont="1" applyFill="1" applyBorder="1" applyAlignment="1" applyProtection="1">
      <alignment horizontal="left"/>
      <protection locked="0"/>
    </xf>
    <xf numFmtId="166" fontId="14" fillId="5" borderId="4" xfId="0" applyNumberFormat="1" applyFont="1" applyFill="1" applyBorder="1" applyAlignment="1" applyProtection="1">
      <alignment horizontal="left"/>
      <protection locked="0"/>
    </xf>
    <xf numFmtId="0" fontId="22" fillId="43" borderId="6" xfId="0" applyFont="1" applyFill="1" applyBorder="1" applyAlignment="1" applyProtection="1">
      <alignment horizontal="left"/>
      <protection locked="0"/>
    </xf>
    <xf numFmtId="168" fontId="23" fillId="5" borderId="6" xfId="0" applyNumberFormat="1" applyFont="1" applyFill="1" applyBorder="1" applyAlignment="1" applyProtection="1">
      <alignment horizontal="right"/>
      <protection locked="0"/>
    </xf>
    <xf numFmtId="178" fontId="23"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0" fontId="14" fillId="5" borderId="11" xfId="0" applyFont="1" applyFill="1" applyBorder="1" applyAlignment="1" applyProtection="1">
      <alignment vertical="center" wrapText="1"/>
      <protection locked="0"/>
    </xf>
    <xf numFmtId="1" fontId="23" fillId="5" borderId="6" xfId="0" applyNumberFormat="1" applyFont="1" applyFill="1" applyBorder="1" applyAlignment="1" applyProtection="1">
      <alignment horizontal="right"/>
      <protection locked="0"/>
    </xf>
    <xf numFmtId="1" fontId="23" fillId="5" borderId="11" xfId="0" quotePrefix="1" applyNumberFormat="1" applyFont="1" applyFill="1" applyBorder="1" applyAlignment="1" applyProtection="1">
      <alignment horizontal="center"/>
      <protection locked="0"/>
    </xf>
    <xf numFmtId="1" fontId="23" fillId="5" borderId="11" xfId="0" applyNumberFormat="1" applyFont="1" applyFill="1" applyBorder="1" applyAlignment="1" applyProtection="1">
      <alignment horizontal="center"/>
      <protection locked="0"/>
    </xf>
    <xf numFmtId="0" fontId="33" fillId="5" borderId="6" xfId="0" applyFont="1" applyFill="1" applyBorder="1" applyAlignment="1" applyProtection="1">
      <alignment horizontal="left"/>
      <protection locked="0"/>
    </xf>
    <xf numFmtId="168" fontId="14" fillId="43" borderId="6" xfId="0" applyNumberFormat="1" applyFont="1" applyFill="1" applyBorder="1" applyAlignment="1" applyProtection="1">
      <alignment horizontal="right"/>
      <protection locked="0"/>
    </xf>
    <xf numFmtId="168" fontId="0" fillId="43" borderId="6" xfId="0" applyNumberFormat="1" applyFill="1" applyBorder="1" applyAlignment="1" applyProtection="1">
      <alignment horizontal="right"/>
      <protection locked="0"/>
    </xf>
    <xf numFmtId="3" fontId="23" fillId="0" borderId="11" xfId="0" applyNumberFormat="1" applyFont="1" applyBorder="1" applyAlignment="1">
      <alignment horizontal="center"/>
    </xf>
    <xf numFmtId="3" fontId="0" fillId="0" borderId="6" xfId="0" applyNumberFormat="1" applyBorder="1" applyAlignment="1">
      <alignment horizontal="right"/>
    </xf>
    <xf numFmtId="10" fontId="23" fillId="5" borderId="4" xfId="0" applyNumberFormat="1" applyFont="1" applyFill="1" applyBorder="1" applyAlignment="1" applyProtection="1">
      <alignment horizontal="right"/>
      <protection locked="0"/>
    </xf>
    <xf numFmtId="165" fontId="23" fillId="5" borderId="3" xfId="0" applyNumberFormat="1" applyFont="1" applyFill="1" applyBorder="1" applyAlignment="1" applyProtection="1">
      <alignment horizontal="center"/>
      <protection locked="0"/>
    </xf>
    <xf numFmtId="165" fontId="23" fillId="5" borderId="4" xfId="0" applyNumberFormat="1" applyFont="1" applyFill="1" applyBorder="1" applyAlignment="1" applyProtection="1">
      <alignment horizontal="center"/>
      <protection locked="0"/>
    </xf>
    <xf numFmtId="165" fontId="23"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75" fontId="0" fillId="5" borderId="4" xfId="0" applyNumberFormat="1" applyFill="1" applyBorder="1" applyAlignment="1" applyProtection="1">
      <alignment horizontal="left" vertical="center" wrapText="1"/>
      <protection locked="0"/>
    </xf>
    <xf numFmtId="0" fontId="14" fillId="0" borderId="11" xfId="543" applyBorder="1" applyAlignment="1">
      <alignment horizontal="center"/>
    </xf>
    <xf numFmtId="168" fontId="14" fillId="43" borderId="3" xfId="0" applyNumberFormat="1" applyFont="1" applyFill="1" applyBorder="1" applyAlignment="1" applyProtection="1">
      <alignment horizontal="center" vertical="center"/>
      <protection locked="0"/>
    </xf>
    <xf numFmtId="168" fontId="14" fillId="43" borderId="4" xfId="0" applyNumberFormat="1" applyFont="1" applyFill="1" applyBorder="1" applyAlignment="1" applyProtection="1">
      <alignment horizontal="center" vertical="center"/>
      <protection locked="0"/>
    </xf>
    <xf numFmtId="168" fontId="14" fillId="43" borderId="5" xfId="0" applyNumberFormat="1" applyFont="1" applyFill="1" applyBorder="1" applyAlignment="1" applyProtection="1">
      <alignment horizontal="center" vertical="center"/>
      <protection locked="0"/>
    </xf>
    <xf numFmtId="0" fontId="14" fillId="5" borderId="11" xfId="0" applyFont="1" applyFill="1" applyBorder="1" applyAlignment="1" applyProtection="1">
      <alignment horizontal="left" vertical="center" wrapText="1"/>
      <protection locked="0"/>
    </xf>
    <xf numFmtId="0" fontId="0" fillId="0" borderId="6" xfId="0" applyBorder="1" applyAlignment="1">
      <alignment horizontal="left"/>
    </xf>
    <xf numFmtId="0" fontId="23" fillId="0" borderId="4" xfId="0" applyFont="1" applyBorder="1" applyAlignment="1">
      <alignment horizontal="center"/>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0" fontId="14" fillId="0" borderId="3" xfId="543" applyBorder="1" applyAlignment="1">
      <alignment horizontal="center"/>
    </xf>
    <xf numFmtId="0" fontId="14" fillId="0" borderId="4" xfId="543" applyBorder="1" applyAlignment="1">
      <alignment horizontal="center"/>
    </xf>
    <xf numFmtId="0" fontId="14" fillId="0" borderId="5" xfId="543" applyBorder="1" applyAlignment="1">
      <alignment horizontal="center"/>
    </xf>
    <xf numFmtId="2" fontId="0" fillId="0" borderId="6" xfId="0" applyNumberFormat="1" applyBorder="1" applyAlignment="1">
      <alignment horizontal="center"/>
    </xf>
    <xf numFmtId="168" fontId="51" fillId="0" borderId="2" xfId="0" applyNumberFormat="1" applyFont="1" applyBorder="1" applyAlignment="1">
      <alignment horizontal="left" vertical="top" wrapText="1"/>
    </xf>
    <xf numFmtId="168" fontId="51" fillId="0" borderId="0" xfId="0" applyNumberFormat="1" applyFont="1" applyAlignment="1">
      <alignment horizontal="left" vertical="top" wrapText="1"/>
    </xf>
    <xf numFmtId="0" fontId="0" fillId="43" borderId="10" xfId="0" applyFill="1" applyBorder="1" applyAlignment="1" applyProtection="1">
      <alignment horizontal="left"/>
      <protection locked="0"/>
    </xf>
    <xf numFmtId="166" fontId="23" fillId="5" borderId="6" xfId="0" applyNumberFormat="1" applyFont="1" applyFill="1" applyBorder="1" applyAlignment="1" applyProtection="1">
      <alignment horizontal="left"/>
      <protection locked="0"/>
    </xf>
    <xf numFmtId="166" fontId="14" fillId="5" borderId="6" xfId="0" applyNumberFormat="1" applyFont="1" applyFill="1" applyBorder="1" applyAlignment="1" applyProtection="1">
      <alignment horizontal="left"/>
      <protection locked="0"/>
    </xf>
    <xf numFmtId="0" fontId="14" fillId="5" borderId="6" xfId="244" applyFont="1" applyFill="1" applyBorder="1" applyAlignment="1" applyProtection="1">
      <alignment horizontal="left"/>
      <protection locked="0"/>
    </xf>
    <xf numFmtId="0" fontId="23" fillId="0" borderId="6" xfId="0" applyFont="1" applyBorder="1" applyAlignment="1">
      <alignment horizontal="left"/>
    </xf>
    <xf numFmtId="0" fontId="14" fillId="5" borderId="6" xfId="0" applyFont="1" applyFill="1" applyBorder="1" applyAlignment="1" applyProtection="1">
      <alignment horizontal="left" wrapText="1"/>
      <protection locked="0"/>
    </xf>
    <xf numFmtId="0" fontId="23" fillId="5" borderId="6" xfId="0" applyFont="1" applyFill="1" applyBorder="1" applyAlignment="1" applyProtection="1">
      <alignment horizontal="left" wrapText="1"/>
      <protection locked="0"/>
    </xf>
    <xf numFmtId="0" fontId="14" fillId="5" borderId="6" xfId="0" applyFont="1" applyFill="1" applyBorder="1" applyAlignment="1" applyProtection="1">
      <alignment horizontal="left"/>
      <protection locked="0"/>
    </xf>
    <xf numFmtId="0" fontId="0" fillId="43" borderId="6" xfId="0" applyFill="1" applyBorder="1" applyAlignment="1" applyProtection="1">
      <alignment horizontal="center"/>
      <protection locked="0"/>
    </xf>
    <xf numFmtId="0" fontId="0" fillId="0" borderId="0" xfId="0" applyAlignment="1">
      <alignment wrapText="1"/>
    </xf>
    <xf numFmtId="0" fontId="23" fillId="0" borderId="0" xfId="0" applyFont="1" applyAlignment="1">
      <alignment horizontal="left" vertical="top" wrapText="1"/>
    </xf>
    <xf numFmtId="0" fontId="167" fillId="0" borderId="0" xfId="0" applyFont="1" applyAlignment="1" applyProtection="1">
      <alignment horizontal="left" vertical="top" wrapText="1"/>
      <protection locked="0"/>
    </xf>
    <xf numFmtId="0" fontId="14" fillId="0" borderId="6" xfId="0" applyFont="1" applyBorder="1" applyAlignment="1" applyProtection="1">
      <alignment horizontal="center"/>
      <protection locked="0"/>
    </xf>
    <xf numFmtId="0" fontId="14" fillId="0" borderId="6" xfId="0" applyFont="1" applyBorder="1" applyAlignment="1" applyProtection="1">
      <alignment horizontal="left"/>
      <protection locked="0"/>
    </xf>
    <xf numFmtId="0" fontId="15" fillId="0" borderId="0" xfId="244" applyFill="1" applyAlignment="1" applyProtection="1">
      <alignment horizontal="left"/>
      <protection locked="0"/>
    </xf>
    <xf numFmtId="168" fontId="14"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2" fillId="0" borderId="3" xfId="4494" applyFont="1" applyBorder="1" applyAlignment="1" applyProtection="1">
      <alignment horizontal="center"/>
    </xf>
    <xf numFmtId="9" fontId="22" fillId="0" borderId="5" xfId="4494" applyFont="1" applyBorder="1" applyAlignment="1" applyProtection="1">
      <alignment horizontal="center"/>
    </xf>
    <xf numFmtId="0" fontId="0" fillId="5" borderId="6" xfId="0" applyFill="1" applyBorder="1" applyProtection="1">
      <protection locked="0"/>
    </xf>
    <xf numFmtId="0" fontId="23"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4" fillId="0" borderId="0" xfId="0" applyFont="1" applyAlignment="1" applyProtection="1">
      <alignment horizontal="left"/>
      <protection locked="0"/>
    </xf>
    <xf numFmtId="0" fontId="20" fillId="3" borderId="0" xfId="0" applyFont="1" applyFill="1" applyAlignment="1">
      <alignment horizontal="center" vertical="center"/>
    </xf>
    <xf numFmtId="166" fontId="14" fillId="5" borderId="6" xfId="271" applyNumberFormat="1" applyFont="1" applyFill="1" applyBorder="1" applyAlignment="1" applyProtection="1">
      <alignment horizontal="left"/>
      <protection locked="0"/>
    </xf>
    <xf numFmtId="166" fontId="23" fillId="5" borderId="6" xfId="271" applyNumberFormat="1" applyFill="1" applyBorder="1" applyAlignment="1" applyProtection="1">
      <alignment horizontal="left"/>
      <protection locked="0"/>
    </xf>
    <xf numFmtId="0" fontId="0" fillId="5" borderId="6" xfId="0" applyFill="1" applyBorder="1" applyAlignment="1" applyProtection="1">
      <alignment horizontal="right"/>
      <protection locked="0"/>
    </xf>
    <xf numFmtId="0" fontId="23" fillId="0" borderId="6" xfId="0" applyFont="1" applyBorder="1" applyAlignment="1">
      <alignment horizontal="left" wrapText="1"/>
    </xf>
    <xf numFmtId="0" fontId="14" fillId="0" borderId="6" xfId="0" applyFont="1" applyBorder="1" applyAlignment="1">
      <alignment horizontal="left"/>
    </xf>
    <xf numFmtId="0" fontId="14" fillId="43" borderId="0" xfId="0" applyFont="1" applyFill="1" applyAlignment="1" applyProtection="1">
      <alignment horizontal="left" vertical="center" wrapText="1"/>
      <protection locked="0"/>
    </xf>
    <xf numFmtId="0" fontId="14" fillId="43" borderId="6" xfId="0" applyFont="1" applyFill="1" applyBorder="1" applyAlignment="1" applyProtection="1">
      <alignment horizontal="left" vertical="center" wrapText="1"/>
      <protection locked="0"/>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74" fontId="0" fillId="5" borderId="4" xfId="0" applyNumberFormat="1" applyFill="1" applyBorder="1" applyAlignment="1" applyProtection="1">
      <alignment horizontal="left"/>
      <protection locked="0"/>
    </xf>
    <xf numFmtId="166" fontId="23" fillId="5" borderId="4" xfId="271" applyNumberFormat="1" applyFill="1" applyBorder="1" applyAlignment="1" applyProtection="1">
      <alignment horizontal="left"/>
      <protection locked="0"/>
    </xf>
    <xf numFmtId="14" fontId="0" fillId="5" borderId="6" xfId="0" applyNumberFormat="1" applyFill="1" applyBorder="1" applyAlignment="1" applyProtection="1">
      <alignment horizontal="center"/>
      <protection locked="0"/>
    </xf>
    <xf numFmtId="0" fontId="14" fillId="5" borderId="0" xfId="244" applyFont="1" applyFill="1" applyBorder="1" applyAlignment="1" applyProtection="1">
      <alignment horizontal="left"/>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14"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0" fontId="14" fillId="5" borderId="3" xfId="0" applyFont="1" applyFill="1" applyBorder="1" applyAlignment="1" applyProtection="1">
      <alignment horizontal="left" vertical="center" wrapText="1"/>
      <protection locked="0"/>
    </xf>
    <xf numFmtId="0" fontId="14" fillId="5" borderId="4" xfId="0" applyFont="1" applyFill="1" applyBorder="1" applyAlignment="1" applyProtection="1">
      <alignment horizontal="left" vertical="center" wrapText="1"/>
      <protection locked="0"/>
    </xf>
    <xf numFmtId="0" fontId="14" fillId="5" borderId="5" xfId="0" applyFont="1" applyFill="1" applyBorder="1" applyAlignment="1" applyProtection="1">
      <alignment horizontal="left" vertical="center"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4" fillId="0" borderId="3" xfId="271" applyFont="1" applyBorder="1" applyAlignment="1">
      <alignment horizontal="left"/>
    </xf>
    <xf numFmtId="0" fontId="14" fillId="0" borderId="4" xfId="271" applyFont="1" applyBorder="1" applyAlignment="1">
      <alignment horizontal="left"/>
    </xf>
    <xf numFmtId="0" fontId="14" fillId="0" borderId="5" xfId="271" applyFont="1" applyBorder="1" applyAlignment="1">
      <alignment horizontal="left"/>
    </xf>
    <xf numFmtId="0" fontId="23" fillId="0" borderId="1" xfId="0" applyFont="1" applyBorder="1" applyAlignment="1">
      <alignment horizontal="center" vertical="top" wrapText="1"/>
    </xf>
    <xf numFmtId="0" fontId="52" fillId="0" borderId="1" xfId="0" applyFont="1" applyBorder="1" applyAlignment="1">
      <alignment horizontal="center" vertical="center" wrapText="1"/>
    </xf>
    <xf numFmtId="0" fontId="52" fillId="0" borderId="2" xfId="0" applyFont="1" applyBorder="1" applyAlignment="1">
      <alignment horizontal="center" vertical="center" wrapText="1"/>
    </xf>
    <xf numFmtId="0" fontId="52" fillId="0" borderId="7" xfId="0" applyFont="1" applyBorder="1" applyAlignment="1">
      <alignment horizontal="center" vertical="center" wrapText="1"/>
    </xf>
    <xf numFmtId="0" fontId="52" fillId="0" borderId="8" xfId="0" applyFont="1" applyBorder="1" applyAlignment="1">
      <alignment horizontal="center" vertical="center" wrapText="1"/>
    </xf>
    <xf numFmtId="0" fontId="52" fillId="0" borderId="0" xfId="0" applyFont="1" applyAlignment="1">
      <alignment horizontal="center" vertical="center" wrapText="1"/>
    </xf>
    <xf numFmtId="0" fontId="52" fillId="0" borderId="12" xfId="0" applyFont="1" applyBorder="1" applyAlignment="1">
      <alignment horizontal="center" vertical="center" wrapText="1"/>
    </xf>
    <xf numFmtId="0" fontId="52" fillId="0" borderId="9" xfId="0" applyFont="1" applyBorder="1" applyAlignment="1">
      <alignment horizontal="center" vertical="center" wrapText="1"/>
    </xf>
    <xf numFmtId="0" fontId="52" fillId="0" borderId="6" xfId="0" applyFont="1" applyBorder="1" applyAlignment="1">
      <alignment horizontal="center" vertical="center" wrapText="1"/>
    </xf>
    <xf numFmtId="0" fontId="52"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75" fontId="14" fillId="43" borderId="3" xfId="0" applyNumberFormat="1" applyFont="1" applyFill="1" applyBorder="1" applyAlignment="1" applyProtection="1">
      <alignment horizontal="center"/>
      <protection locked="0"/>
    </xf>
    <xf numFmtId="175" fontId="14" fillId="43" borderId="4" xfId="0" applyNumberFormat="1" applyFont="1" applyFill="1" applyBorder="1" applyAlignment="1" applyProtection="1">
      <alignment horizontal="center"/>
      <protection locked="0"/>
    </xf>
    <xf numFmtId="175" fontId="14" fillId="43" borderId="5" xfId="0" applyNumberFormat="1" applyFon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0" fontId="14" fillId="5" borderId="11" xfId="0" applyFont="1" applyFill="1" applyBorder="1" applyAlignment="1" applyProtection="1">
      <alignment horizontal="left" wrapText="1"/>
      <protection locked="0"/>
    </xf>
    <xf numFmtId="0" fontId="14" fillId="5" borderId="4" xfId="0" applyFont="1" applyFill="1" applyBorder="1" applyAlignment="1" applyProtection="1">
      <alignmen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3" fillId="5" borderId="4" xfId="0" applyFont="1" applyFill="1" applyBorder="1" applyAlignment="1" applyProtection="1">
      <alignment wrapText="1"/>
      <protection locked="0"/>
    </xf>
    <xf numFmtId="168" fontId="0" fillId="5" borderId="11" xfId="0" applyNumberFormat="1" applyFill="1" applyBorder="1" applyAlignment="1" applyProtection="1">
      <alignment horizontal="center"/>
      <protection locked="0"/>
    </xf>
    <xf numFmtId="0" fontId="21" fillId="0" borderId="3" xfId="0" applyFont="1" applyBorder="1" applyAlignment="1">
      <alignment horizontal="right"/>
    </xf>
    <xf numFmtId="0" fontId="21" fillId="0" borderId="4" xfId="0" applyFont="1" applyBorder="1" applyAlignment="1">
      <alignment horizontal="right"/>
    </xf>
    <xf numFmtId="0" fontId="21" fillId="0" borderId="5" xfId="0" applyFont="1" applyBorder="1" applyAlignment="1">
      <alignment horizontal="right"/>
    </xf>
    <xf numFmtId="0" fontId="0" fillId="0" borderId="9" xfId="0" applyBorder="1" applyAlignment="1">
      <alignment horizontal="left"/>
    </xf>
    <xf numFmtId="0" fontId="21"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0" borderId="11" xfId="0" applyNumberFormat="1" applyBorder="1" applyAlignment="1">
      <alignment horizontal="right"/>
    </xf>
    <xf numFmtId="168" fontId="0" fillId="0" borderId="11" xfId="0" applyNumberFormat="1" applyBorder="1" applyAlignment="1">
      <alignment horizont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64" fontId="22" fillId="5" borderId="3" xfId="0" applyNumberFormat="1" applyFont="1" applyFill="1" applyBorder="1" applyAlignment="1" applyProtection="1">
      <alignment horizontal="left"/>
      <protection locked="0"/>
    </xf>
    <xf numFmtId="164" fontId="22" fillId="5" borderId="4" xfId="0" applyNumberFormat="1" applyFont="1" applyFill="1" applyBorder="1" applyAlignment="1" applyProtection="1">
      <alignment horizontal="left"/>
      <protection locked="0"/>
    </xf>
    <xf numFmtId="164" fontId="22" fillId="5" borderId="5" xfId="0" applyNumberFormat="1" applyFont="1" applyFill="1" applyBorder="1" applyAlignment="1" applyProtection="1">
      <alignment horizontal="left"/>
      <protection locked="0"/>
    </xf>
    <xf numFmtId="168" fontId="0" fillId="5" borderId="11" xfId="0" applyNumberFormat="1" applyFill="1" applyBorder="1" applyAlignment="1" applyProtection="1">
      <alignment horizontal="right"/>
      <protection locked="0"/>
    </xf>
    <xf numFmtId="168" fontId="0" fillId="5" borderId="11" xfId="0" applyNumberFormat="1" applyFill="1" applyBorder="1" applyProtection="1">
      <protection locked="0"/>
    </xf>
    <xf numFmtId="168" fontId="14" fillId="5" borderId="10" xfId="0" applyNumberFormat="1" applyFont="1" applyFill="1" applyBorder="1" applyAlignment="1" applyProtection="1">
      <alignment horizontal="right"/>
      <protection locked="0"/>
    </xf>
    <xf numFmtId="168" fontId="14" fillId="5" borderId="13" xfId="0" applyNumberFormat="1" applyFont="1" applyFill="1" applyBorder="1" applyAlignment="1" applyProtection="1">
      <alignment horizontal="right"/>
      <protection locked="0"/>
    </xf>
    <xf numFmtId="0" fontId="21" fillId="5" borderId="11" xfId="0" applyFont="1" applyFill="1" applyBorder="1" applyAlignment="1" applyProtection="1">
      <alignment horizontal="center"/>
      <protection locked="0"/>
    </xf>
    <xf numFmtId="0" fontId="14" fillId="0" borderId="3" xfId="0" applyFont="1" applyBorder="1"/>
    <xf numFmtId="0" fontId="14" fillId="0" borderId="4" xfId="0" applyFont="1" applyBorder="1"/>
    <xf numFmtId="0" fontId="14" fillId="0" borderId="5" xfId="0" applyFon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171" fontId="14" fillId="0" borderId="0" xfId="543" applyNumberFormat="1" applyAlignment="1">
      <alignment horizontal="center"/>
    </xf>
    <xf numFmtId="171" fontId="14" fillId="0" borderId="0" xfId="543" applyNumberFormat="1" applyAlignment="1">
      <alignment horizontal="right"/>
    </xf>
    <xf numFmtId="2" fontId="14" fillId="0" borderId="0" xfId="543" applyNumberFormat="1" applyAlignment="1">
      <alignment horizontal="center"/>
    </xf>
    <xf numFmtId="0" fontId="14" fillId="0" borderId="0" xfId="543"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9" fontId="14"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0" fillId="0" borderId="3" xfId="0" applyBorder="1"/>
    <xf numFmtId="0" fontId="0" fillId="0" borderId="4" xfId="0" applyBorder="1"/>
    <xf numFmtId="0" fontId="0" fillId="0" borderId="5" xfId="0" applyBorder="1"/>
    <xf numFmtId="164" fontId="33" fillId="5" borderId="3" xfId="0" applyNumberFormat="1" applyFont="1" applyFill="1" applyBorder="1" applyAlignment="1" applyProtection="1">
      <alignment horizontal="left"/>
      <protection locked="0"/>
    </xf>
    <xf numFmtId="164" fontId="33" fillId="5" borderId="4" xfId="0" applyNumberFormat="1" applyFont="1" applyFill="1" applyBorder="1" applyAlignment="1" applyProtection="1">
      <alignment horizontal="left"/>
      <protection locked="0"/>
    </xf>
    <xf numFmtId="164" fontId="33"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14" fillId="5" borderId="3" xfId="0" applyNumberFormat="1" applyFont="1" applyFill="1" applyBorder="1" applyAlignment="1" applyProtection="1">
      <alignment horizontal="right"/>
      <protection locked="0"/>
    </xf>
    <xf numFmtId="168" fontId="14" fillId="5" borderId="4" xfId="0" applyNumberFormat="1" applyFont="1" applyFill="1" applyBorder="1" applyAlignment="1" applyProtection="1">
      <alignment horizontal="right"/>
      <protection locked="0"/>
    </xf>
    <xf numFmtId="168" fontId="14" fillId="5" borderId="5" xfId="0" applyNumberFormat="1" applyFont="1" applyFill="1" applyBorder="1" applyAlignment="1" applyProtection="1">
      <alignment horizontal="right"/>
      <protection locked="0"/>
    </xf>
    <xf numFmtId="168" fontId="14" fillId="5" borderId="3" xfId="0" applyNumberFormat="1" applyFont="1" applyFill="1" applyBorder="1" applyAlignment="1" applyProtection="1">
      <alignment horizontal="left"/>
      <protection locked="0"/>
    </xf>
    <xf numFmtId="168" fontId="14" fillId="5" borderId="4" xfId="0" applyNumberFormat="1" applyFont="1" applyFill="1" applyBorder="1" applyAlignment="1" applyProtection="1">
      <alignment horizontal="left"/>
      <protection locked="0"/>
    </xf>
    <xf numFmtId="168" fontId="14" fillId="5" borderId="5" xfId="0" applyNumberFormat="1" applyFont="1" applyFill="1" applyBorder="1" applyAlignment="1" applyProtection="1">
      <alignment horizontal="left"/>
      <protection locked="0"/>
    </xf>
    <xf numFmtId="168" fontId="0" fillId="0" borderId="11" xfId="0" applyNumberFormat="1" applyBorder="1"/>
    <xf numFmtId="0" fontId="51" fillId="5" borderId="3" xfId="0" applyFont="1" applyFill="1" applyBorder="1" applyAlignment="1" applyProtection="1">
      <alignment horizontal="right"/>
      <protection locked="0"/>
    </xf>
    <xf numFmtId="0" fontId="51" fillId="5" borderId="4" xfId="0" applyFont="1" applyFill="1" applyBorder="1" applyAlignment="1" applyProtection="1">
      <alignment horizontal="right"/>
      <protection locked="0"/>
    </xf>
    <xf numFmtId="0" fontId="51" fillId="5" borderId="5" xfId="0" applyFont="1" applyFill="1" applyBorder="1" applyAlignment="1" applyProtection="1">
      <alignment horizontal="right"/>
      <protection locked="0"/>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0" xfId="0" applyFont="1" applyAlignment="1">
      <alignment horizontal="center" vertical="center" wrapText="1"/>
    </xf>
    <xf numFmtId="0" fontId="30" fillId="0" borderId="12"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37" fillId="0" borderId="3" xfId="0" applyFont="1" applyBorder="1" applyAlignment="1">
      <alignment horizontal="center"/>
    </xf>
    <xf numFmtId="0" fontId="37" fillId="0" borderId="4" xfId="0" applyFont="1" applyBorder="1" applyAlignment="1">
      <alignment horizontal="center"/>
    </xf>
    <xf numFmtId="0" fontId="37" fillId="0" borderId="5" xfId="0" applyFont="1" applyBorder="1" applyAlignment="1">
      <alignment horizontal="center"/>
    </xf>
    <xf numFmtId="0" fontId="21" fillId="0" borderId="11" xfId="0" applyFont="1" applyBorder="1" applyAlignment="1">
      <alignment horizontal="center" vertical="center"/>
    </xf>
    <xf numFmtId="172" fontId="0" fillId="5" borderId="6" xfId="0" applyNumberFormat="1" applyFill="1" applyBorder="1" applyAlignment="1" applyProtection="1">
      <alignment horizontal="center"/>
      <protection locked="0"/>
    </xf>
    <xf numFmtId="168" fontId="23"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1" fillId="0" borderId="6" xfId="0" applyFont="1" applyBorder="1" applyAlignment="1">
      <alignment horizontal="right"/>
    </xf>
    <xf numFmtId="0" fontId="22"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80" fontId="0" fillId="0" borderId="6" xfId="0" applyNumberFormat="1" applyBorder="1" applyAlignment="1">
      <alignment horizontal="center"/>
    </xf>
    <xf numFmtId="0" fontId="14" fillId="5" borderId="3" xfId="0" applyFont="1" applyFill="1" applyBorder="1" applyProtection="1">
      <protection locked="0"/>
    </xf>
    <xf numFmtId="0" fontId="23" fillId="0" borderId="4" xfId="0" applyFont="1" applyBorder="1" applyProtection="1">
      <protection locked="0"/>
    </xf>
    <xf numFmtId="0" fontId="23" fillId="0" borderId="5" xfId="0" applyFont="1" applyBorder="1" applyProtection="1">
      <protection locked="0"/>
    </xf>
    <xf numFmtId="165" fontId="21" fillId="0" borderId="3" xfId="271" applyNumberFormat="1" applyFont="1" applyBorder="1" applyAlignment="1">
      <alignment horizontal="center"/>
    </xf>
    <xf numFmtId="165" fontId="21" fillId="0" borderId="4" xfId="271" applyNumberFormat="1" applyFont="1" applyBorder="1" applyAlignment="1">
      <alignment horizontal="center"/>
    </xf>
    <xf numFmtId="165" fontId="21" fillId="0" borderId="5" xfId="271" applyNumberFormat="1" applyFont="1" applyBorder="1" applyAlignment="1">
      <alignment horizontal="center"/>
    </xf>
    <xf numFmtId="0" fontId="33" fillId="5" borderId="3" xfId="543" applyFont="1" applyFill="1" applyBorder="1" applyAlignment="1">
      <alignment horizontal="center"/>
    </xf>
    <xf numFmtId="0" fontId="33" fillId="5" borderId="4" xfId="543" applyFont="1" applyFill="1" applyBorder="1" applyAlignment="1">
      <alignment horizontal="center"/>
    </xf>
    <xf numFmtId="0" fontId="33" fillId="5" borderId="5" xfId="543" applyFont="1" applyFill="1" applyBorder="1" applyAlignment="1">
      <alignment horizontal="center"/>
    </xf>
    <xf numFmtId="49" fontId="14" fillId="5" borderId="3" xfId="543" applyNumberFormat="1" applyFill="1" applyBorder="1" applyAlignment="1">
      <alignment horizontal="center"/>
    </xf>
    <xf numFmtId="49" fontId="14" fillId="5" borderId="5" xfId="543" applyNumberFormat="1" applyFill="1" applyBorder="1" applyAlignment="1">
      <alignment horizontal="center"/>
    </xf>
    <xf numFmtId="0" fontId="21" fillId="0" borderId="0" xfId="0" applyFont="1" applyAlignment="1">
      <alignment horizontal="center" vertic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9" fontId="14"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4"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2" fillId="5" borderId="3" xfId="0" applyFont="1" applyFill="1" applyBorder="1" applyAlignment="1" applyProtection="1">
      <alignment horizontal="left"/>
      <protection locked="0"/>
    </xf>
    <xf numFmtId="0" fontId="22" fillId="5" borderId="4" xfId="0" applyFont="1" applyFill="1" applyBorder="1" applyAlignment="1" applyProtection="1">
      <alignment horizontal="left"/>
      <protection locked="0"/>
    </xf>
    <xf numFmtId="0" fontId="22" fillId="5" borderId="5" xfId="0" applyFont="1" applyFill="1" applyBorder="1" applyAlignment="1" applyProtection="1">
      <alignment horizontal="left"/>
      <protection locked="0"/>
    </xf>
    <xf numFmtId="0" fontId="21" fillId="0" borderId="2" xfId="0" applyFont="1" applyBorder="1" applyAlignment="1">
      <alignment horizontal="right"/>
    </xf>
    <xf numFmtId="0" fontId="21" fillId="0" borderId="7" xfId="0" applyFont="1" applyBorder="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14" fillId="5" borderId="3" xfId="0" applyFont="1" applyFill="1" applyBorder="1" applyAlignment="1" applyProtection="1">
      <alignment horizontal="left"/>
      <protection locked="0"/>
    </xf>
    <xf numFmtId="0" fontId="14" fillId="5" borderId="5" xfId="0" applyFont="1" applyFill="1" applyBorder="1" applyAlignment="1" applyProtection="1">
      <alignment horizontal="left"/>
      <protection locked="0"/>
    </xf>
    <xf numFmtId="0" fontId="21" fillId="5" borderId="3" xfId="0" applyFont="1" applyFill="1" applyBorder="1" applyAlignment="1" applyProtection="1">
      <alignment horizontal="right"/>
      <protection locked="0"/>
    </xf>
    <xf numFmtId="0" fontId="21" fillId="5" borderId="4" xfId="0" applyFont="1" applyFill="1" applyBorder="1" applyAlignment="1" applyProtection="1">
      <alignment horizontal="right"/>
      <protection locked="0"/>
    </xf>
    <xf numFmtId="0" fontId="21"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0" fontId="21" fillId="0" borderId="2" xfId="0" applyFont="1" applyBorder="1" applyAlignment="1">
      <alignment horizontal="center" wrapText="1"/>
    </xf>
    <xf numFmtId="0" fontId="21" fillId="0" borderId="7" xfId="0" applyFont="1" applyBorder="1" applyAlignment="1">
      <alignment horizontal="center" wrapText="1"/>
    </xf>
    <xf numFmtId="0" fontId="21" fillId="0" borderId="6" xfId="0" applyFont="1" applyBorder="1" applyAlignment="1">
      <alignment horizontal="center" wrapText="1"/>
    </xf>
    <xf numFmtId="0" fontId="21" fillId="0" borderId="10" xfId="0" applyFont="1" applyBorder="1" applyAlignment="1">
      <alignment horizontal="center" wrapText="1"/>
    </xf>
    <xf numFmtId="0" fontId="23" fillId="0" borderId="11" xfId="0" applyFont="1" applyBorder="1" applyAlignment="1">
      <alignment horizontal="center"/>
    </xf>
    <xf numFmtId="168" fontId="14" fillId="10" borderId="3" xfId="543" applyNumberFormat="1" applyFill="1" applyBorder="1" applyAlignment="1">
      <alignment horizontal="center"/>
    </xf>
    <xf numFmtId="168" fontId="14" fillId="10" borderId="4" xfId="543" applyNumberFormat="1" applyFill="1" applyBorder="1" applyAlignment="1">
      <alignment horizontal="center"/>
    </xf>
    <xf numFmtId="168" fontId="14" fillId="10" borderId="5" xfId="543" applyNumberFormat="1" applyFill="1" applyBorder="1" applyAlignment="1">
      <alignment horizontal="center"/>
    </xf>
    <xf numFmtId="0" fontId="23" fillId="0" borderId="11" xfId="0" applyFont="1" applyBorder="1" applyAlignment="1">
      <alignment horizontal="center" vertical="top" wrapText="1"/>
    </xf>
    <xf numFmtId="0" fontId="14" fillId="43"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0" fontId="23" fillId="0" borderId="3" xfId="0" applyFont="1" applyBorder="1" applyAlignment="1">
      <alignment horizontal="left"/>
    </xf>
    <xf numFmtId="0" fontId="21" fillId="0" borderId="3" xfId="543" applyFont="1" applyBorder="1" applyAlignment="1">
      <alignment horizontal="right"/>
    </xf>
    <xf numFmtId="0" fontId="21" fillId="0" borderId="4" xfId="543" applyFont="1" applyBorder="1" applyAlignment="1">
      <alignment horizontal="right"/>
    </xf>
    <xf numFmtId="0" fontId="21" fillId="0" borderId="5" xfId="543" applyFont="1" applyBorder="1" applyAlignment="1">
      <alignment horizontal="right"/>
    </xf>
    <xf numFmtId="0" fontId="21" fillId="0" borderId="1" xfId="543" applyFont="1" applyBorder="1" applyAlignment="1">
      <alignment horizontal="left" vertical="center" wrapText="1"/>
    </xf>
    <xf numFmtId="0" fontId="21" fillId="0" borderId="2" xfId="543" applyFont="1" applyBorder="1" applyAlignment="1">
      <alignment horizontal="left" vertical="center" wrapText="1"/>
    </xf>
    <xf numFmtId="0" fontId="21" fillId="0" borderId="7" xfId="543" applyFont="1" applyBorder="1" applyAlignment="1">
      <alignment horizontal="left" vertical="center" wrapText="1"/>
    </xf>
    <xf numFmtId="0" fontId="14" fillId="5" borderId="3" xfId="543" applyFill="1" applyBorder="1" applyAlignment="1" applyProtection="1">
      <alignment horizontal="left" vertical="top" wrapText="1"/>
      <protection locked="0"/>
    </xf>
    <xf numFmtId="0" fontId="23" fillId="5" borderId="4" xfId="543" applyFont="1" applyFill="1" applyBorder="1" applyAlignment="1" applyProtection="1">
      <alignment horizontal="left" vertical="top" wrapText="1"/>
      <protection locked="0"/>
    </xf>
    <xf numFmtId="0" fontId="23" fillId="5" borderId="5" xfId="543" applyFont="1" applyFill="1" applyBorder="1" applyAlignment="1" applyProtection="1">
      <alignment horizontal="left" vertical="top" wrapText="1"/>
      <protection locked="0"/>
    </xf>
    <xf numFmtId="0" fontId="34" fillId="0" borderId="4" xfId="543" applyFont="1" applyBorder="1" applyAlignment="1">
      <alignment horizontal="right" vertical="top" wrapText="1"/>
    </xf>
    <xf numFmtId="0" fontId="34" fillId="0" borderId="5" xfId="543" applyFont="1" applyBorder="1" applyAlignment="1">
      <alignment horizontal="right" vertical="top" wrapText="1"/>
    </xf>
    <xf numFmtId="0" fontId="21" fillId="0" borderId="8" xfId="543" applyFont="1" applyBorder="1" applyAlignment="1">
      <alignment horizontal="left" vertical="center" wrapText="1"/>
    </xf>
    <xf numFmtId="0" fontId="21" fillId="0" borderId="0" xfId="543" applyFont="1" applyAlignment="1">
      <alignment horizontal="left" vertical="center" wrapText="1"/>
    </xf>
    <xf numFmtId="0" fontId="21" fillId="0" borderId="12" xfId="543" applyFont="1" applyBorder="1" applyAlignment="1">
      <alignment horizontal="left" vertical="center" wrapText="1"/>
    </xf>
    <xf numFmtId="0" fontId="14" fillId="0" borderId="8" xfId="543" applyBorder="1" applyAlignment="1">
      <alignment horizontal="left" vertical="top" wrapText="1"/>
    </xf>
    <xf numFmtId="0" fontId="14" fillId="0" borderId="0" xfId="543" applyAlignment="1">
      <alignment horizontal="left" vertical="top" wrapText="1"/>
    </xf>
    <xf numFmtId="0" fontId="14" fillId="0" borderId="12" xfId="543" applyBorder="1" applyAlignment="1">
      <alignment horizontal="left" vertical="top" wrapText="1"/>
    </xf>
    <xf numFmtId="0" fontId="22" fillId="0" borderId="3" xfId="543" applyFont="1" applyBorder="1" applyAlignment="1">
      <alignment horizontal="center"/>
    </xf>
    <xf numFmtId="0" fontId="22" fillId="0" borderId="5" xfId="543" applyFont="1" applyBorder="1" applyAlignment="1">
      <alignment horizontal="center"/>
    </xf>
    <xf numFmtId="1" fontId="22" fillId="0" borderId="3" xfId="543" applyNumberFormat="1" applyFont="1" applyBorder="1" applyAlignment="1">
      <alignment horizontal="center"/>
    </xf>
    <xf numFmtId="1" fontId="22" fillId="0" borderId="5" xfId="543" applyNumberFormat="1" applyFont="1" applyBorder="1" applyAlignment="1">
      <alignment horizontal="center"/>
    </xf>
    <xf numFmtId="0" fontId="33" fillId="0" borderId="3" xfId="543" applyFont="1" applyBorder="1" applyAlignment="1">
      <alignment horizontal="center"/>
    </xf>
    <xf numFmtId="0" fontId="33" fillId="0" borderId="5" xfId="543" applyFont="1" applyBorder="1" applyAlignment="1">
      <alignment horizontal="center"/>
    </xf>
    <xf numFmtId="0" fontId="33" fillId="5" borderId="3" xfId="543" applyFont="1" applyFill="1" applyBorder="1" applyAlignment="1" applyProtection="1">
      <alignment horizontal="center"/>
      <protection locked="0"/>
    </xf>
    <xf numFmtId="0" fontId="33" fillId="5" borderId="5" xfId="543" applyFont="1" applyFill="1" applyBorder="1" applyAlignment="1" applyProtection="1">
      <alignment horizontal="center"/>
      <protection locked="0"/>
    </xf>
    <xf numFmtId="0" fontId="33" fillId="5" borderId="9" xfId="543" applyFont="1" applyFill="1" applyBorder="1" applyAlignment="1" applyProtection="1">
      <alignment horizontal="center"/>
      <protection locked="0"/>
    </xf>
    <xf numFmtId="0" fontId="33" fillId="5" borderId="10" xfId="543" applyFont="1" applyFill="1" applyBorder="1" applyAlignment="1" applyProtection="1">
      <alignment horizontal="center"/>
      <protection locked="0"/>
    </xf>
    <xf numFmtId="0" fontId="14" fillId="0" borderId="9" xfId="543" applyBorder="1" applyAlignment="1">
      <alignment horizontal="left" vertical="top" wrapText="1"/>
    </xf>
    <xf numFmtId="0" fontId="14" fillId="0" borderId="6" xfId="543" applyBorder="1" applyAlignment="1">
      <alignment horizontal="left" vertical="top" wrapText="1"/>
    </xf>
    <xf numFmtId="0" fontId="14" fillId="0" borderId="10" xfId="543" applyBorder="1" applyAlignment="1">
      <alignment horizontal="left" vertical="top" wrapText="1"/>
    </xf>
    <xf numFmtId="0" fontId="21" fillId="0" borderId="1" xfId="0" applyFont="1" applyBorder="1" applyAlignment="1">
      <alignment horizontal="center" wrapText="1"/>
    </xf>
    <xf numFmtId="0" fontId="21" fillId="0" borderId="8" xfId="0" applyFont="1" applyBorder="1" applyAlignment="1">
      <alignment horizontal="center" wrapText="1"/>
    </xf>
    <xf numFmtId="0" fontId="21" fillId="0" borderId="0" xfId="0" applyFont="1" applyAlignment="1">
      <alignment horizontal="center" wrapText="1"/>
    </xf>
    <xf numFmtId="0" fontId="21" fillId="0" borderId="9" xfId="0" applyFont="1" applyBorder="1" applyAlignment="1">
      <alignment horizontal="center" wrapText="1"/>
    </xf>
    <xf numFmtId="168" fontId="14"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82" fontId="22" fillId="43" borderId="11" xfId="8722" applyNumberFormat="1" applyFont="1" applyFill="1" applyBorder="1" applyAlignment="1" applyProtection="1">
      <alignment horizontal="center" vertical="center" wrapText="1"/>
      <protection locked="0"/>
    </xf>
    <xf numFmtId="0" fontId="21" fillId="0" borderId="12" xfId="0" applyFont="1" applyBorder="1" applyAlignment="1">
      <alignment horizontal="center" wrapText="1"/>
    </xf>
    <xf numFmtId="0" fontId="35" fillId="0" borderId="3" xfId="543" applyFont="1" applyBorder="1" applyAlignment="1">
      <alignment horizontal="center"/>
    </xf>
    <xf numFmtId="0" fontId="35" fillId="0" borderId="4" xfId="543" applyFont="1" applyBorder="1" applyAlignment="1">
      <alignment horizontal="center"/>
    </xf>
    <xf numFmtId="0" fontId="35" fillId="0" borderId="5" xfId="543" applyFont="1" applyBorder="1" applyAlignment="1">
      <alignment horizontal="center"/>
    </xf>
    <xf numFmtId="1" fontId="14" fillId="0" borderId="3" xfId="543" applyNumberFormat="1" applyBorder="1" applyAlignment="1">
      <alignment horizontal="center"/>
    </xf>
    <xf numFmtId="1" fontId="14" fillId="0" borderId="4" xfId="543" applyNumberFormat="1" applyBorder="1" applyAlignment="1">
      <alignment horizontal="center"/>
    </xf>
    <xf numFmtId="1" fontId="14" fillId="0" borderId="5" xfId="543" applyNumberFormat="1" applyBorder="1" applyAlignment="1">
      <alignment horizontal="center"/>
    </xf>
    <xf numFmtId="0" fontId="14" fillId="0" borderId="8" xfId="543" applyBorder="1" applyAlignment="1">
      <alignment horizontal="left" vertical="center" wrapText="1"/>
    </xf>
    <xf numFmtId="0" fontId="14" fillId="0" borderId="0" xfId="543" applyAlignment="1">
      <alignment horizontal="left" vertical="center" wrapText="1"/>
    </xf>
    <xf numFmtId="0" fontId="14" fillId="0" borderId="12" xfId="543" applyBorder="1" applyAlignment="1">
      <alignment horizontal="left" vertical="center" wrapText="1"/>
    </xf>
    <xf numFmtId="0" fontId="14" fillId="0" borderId="9" xfId="543" applyBorder="1" applyAlignment="1">
      <alignment horizontal="left" vertical="center" wrapText="1"/>
    </xf>
    <xf numFmtId="0" fontId="14" fillId="0" borderId="6" xfId="543" applyBorder="1" applyAlignment="1">
      <alignment horizontal="left" vertical="center" wrapText="1"/>
    </xf>
    <xf numFmtId="0" fontId="14" fillId="0" borderId="10" xfId="543" applyBorder="1" applyAlignment="1">
      <alignment horizontal="left" vertical="center" wrapText="1"/>
    </xf>
    <xf numFmtId="0" fontId="166" fillId="0" borderId="8" xfId="543" applyFont="1" applyBorder="1" applyAlignment="1">
      <alignment horizontal="center" vertical="center" wrapText="1"/>
    </xf>
    <xf numFmtId="0" fontId="166" fillId="0" borderId="0" xfId="543" applyFont="1" applyAlignment="1">
      <alignment horizontal="center" vertical="center" wrapText="1"/>
    </xf>
    <xf numFmtId="0" fontId="166" fillId="0" borderId="12" xfId="543" applyFont="1" applyBorder="1" applyAlignment="1">
      <alignment horizontal="center" vertical="center" wrapText="1"/>
    </xf>
    <xf numFmtId="168" fontId="14" fillId="0" borderId="1" xfId="543" applyNumberFormat="1" applyBorder="1" applyAlignment="1">
      <alignment horizontal="center" vertical="center"/>
    </xf>
    <xf numFmtId="168" fontId="14" fillId="0" borderId="2" xfId="543" applyNumberFormat="1" applyBorder="1" applyAlignment="1">
      <alignment horizontal="center" vertical="center"/>
    </xf>
    <xf numFmtId="168" fontId="14" fillId="0" borderId="7" xfId="543" applyNumberFormat="1" applyBorder="1" applyAlignment="1">
      <alignment horizontal="center" vertical="center"/>
    </xf>
    <xf numFmtId="168" fontId="14" fillId="0" borderId="8" xfId="543" applyNumberFormat="1" applyBorder="1" applyAlignment="1">
      <alignment horizontal="center" vertical="center"/>
    </xf>
    <xf numFmtId="168" fontId="14" fillId="0" borderId="0" xfId="543" applyNumberFormat="1" applyAlignment="1">
      <alignment horizontal="center" vertical="center"/>
    </xf>
    <xf numFmtId="168" fontId="14" fillId="0" borderId="12" xfId="543" applyNumberFormat="1" applyBorder="1" applyAlignment="1">
      <alignment horizontal="center" vertical="center"/>
    </xf>
    <xf numFmtId="168" fontId="14" fillId="0" borderId="9" xfId="543" applyNumberFormat="1" applyBorder="1" applyAlignment="1">
      <alignment horizontal="center" vertical="center"/>
    </xf>
    <xf numFmtId="168" fontId="14" fillId="0" borderId="6" xfId="543" applyNumberFormat="1" applyBorder="1" applyAlignment="1">
      <alignment horizontal="center" vertical="center"/>
    </xf>
    <xf numFmtId="168" fontId="14" fillId="0" borderId="10" xfId="543" applyNumberFormat="1" applyBorder="1" applyAlignment="1">
      <alignment horizontal="center" vertical="center"/>
    </xf>
    <xf numFmtId="168" fontId="21" fillId="0" borderId="3" xfId="543" applyNumberFormat="1" applyFont="1" applyBorder="1" applyAlignment="1">
      <alignment horizontal="center" vertical="center"/>
    </xf>
    <xf numFmtId="168" fontId="21" fillId="0" borderId="4" xfId="543" applyNumberFormat="1" applyFont="1" applyBorder="1" applyAlignment="1">
      <alignment horizontal="center" vertical="center"/>
    </xf>
    <xf numFmtId="168" fontId="21" fillId="0" borderId="5" xfId="543" applyNumberFormat="1" applyFont="1" applyBorder="1" applyAlignment="1">
      <alignment horizontal="center" vertical="center"/>
    </xf>
    <xf numFmtId="0" fontId="14" fillId="0" borderId="8" xfId="0" applyFont="1" applyBorder="1" applyAlignment="1">
      <alignment horizontal="left" wrapText="1"/>
    </xf>
    <xf numFmtId="0" fontId="14" fillId="0" borderId="12" xfId="0" applyFont="1" applyBorder="1" applyAlignment="1">
      <alignment horizontal="left" wrapText="1"/>
    </xf>
    <xf numFmtId="0" fontId="14" fillId="0" borderId="9" xfId="0" applyFont="1" applyBorder="1" applyAlignment="1">
      <alignment horizontal="left" wrapText="1"/>
    </xf>
    <xf numFmtId="0" fontId="14" fillId="0" borderId="6" xfId="0" applyFont="1" applyBorder="1" applyAlignment="1">
      <alignment horizontal="left" wrapText="1"/>
    </xf>
    <xf numFmtId="0" fontId="14" fillId="0" borderId="10" xfId="0" applyFont="1" applyBorder="1" applyAlignment="1">
      <alignment horizontal="left" wrapText="1"/>
    </xf>
    <xf numFmtId="0" fontId="14" fillId="2" borderId="3" xfId="543" applyFill="1" applyBorder="1" applyAlignment="1">
      <alignment horizontal="center"/>
    </xf>
    <xf numFmtId="0" fontId="14" fillId="2" borderId="4" xfId="543" applyFill="1" applyBorder="1" applyAlignment="1">
      <alignment horizontal="center"/>
    </xf>
    <xf numFmtId="0" fontId="14" fillId="2" borderId="5" xfId="543" applyFill="1" applyBorder="1" applyAlignment="1">
      <alignment horizontal="center"/>
    </xf>
    <xf numFmtId="0" fontId="21" fillId="0" borderId="1" xfId="543" applyFont="1" applyBorder="1" applyAlignment="1">
      <alignment horizontal="left" vertical="top" wrapText="1"/>
    </xf>
    <xf numFmtId="0" fontId="21" fillId="0" borderId="2" xfId="543" applyFont="1" applyBorder="1" applyAlignment="1">
      <alignment horizontal="left" vertical="top" wrapText="1"/>
    </xf>
    <xf numFmtId="0" fontId="21" fillId="0" borderId="7" xfId="543" applyFont="1" applyBorder="1" applyAlignment="1">
      <alignment horizontal="left" vertical="top" wrapText="1"/>
    </xf>
    <xf numFmtId="0" fontId="21" fillId="0" borderId="8" xfId="543" applyFont="1" applyBorder="1" applyAlignment="1">
      <alignment horizontal="left" vertical="top" wrapText="1"/>
    </xf>
    <xf numFmtId="0" fontId="21" fillId="0" borderId="0" xfId="543" applyFont="1" applyAlignment="1">
      <alignment horizontal="left" vertical="top" wrapText="1"/>
    </xf>
    <xf numFmtId="0" fontId="21" fillId="0" borderId="12" xfId="543" applyFont="1" applyBorder="1" applyAlignment="1">
      <alignment horizontal="left" vertical="top" wrapText="1"/>
    </xf>
    <xf numFmtId="0" fontId="34" fillId="0" borderId="1" xfId="543" applyFont="1" applyBorder="1" applyAlignment="1">
      <alignment horizontal="right"/>
    </xf>
    <xf numFmtId="0" fontId="34" fillId="0" borderId="2" xfId="543" applyFont="1" applyBorder="1" applyAlignment="1">
      <alignment horizontal="right"/>
    </xf>
    <xf numFmtId="0" fontId="34" fillId="0" borderId="7" xfId="543" applyFont="1" applyBorder="1" applyAlignment="1">
      <alignment horizontal="right"/>
    </xf>
    <xf numFmtId="0" fontId="22" fillId="5" borderId="3" xfId="543" applyFont="1"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21" fillId="10" borderId="3" xfId="543" applyFont="1" applyFill="1" applyBorder="1" applyAlignment="1">
      <alignment horizontal="center"/>
    </xf>
    <xf numFmtId="0" fontId="21" fillId="10" borderId="4" xfId="543" applyFont="1" applyFill="1" applyBorder="1" applyAlignment="1">
      <alignment horizontal="center"/>
    </xf>
    <xf numFmtId="0" fontId="21" fillId="10" borderId="5" xfId="543" applyFont="1" applyFill="1" applyBorder="1" applyAlignment="1">
      <alignment horizontal="center"/>
    </xf>
    <xf numFmtId="0" fontId="33" fillId="5" borderId="3" xfId="543" applyFont="1" applyFill="1" applyBorder="1" applyAlignment="1" applyProtection="1">
      <alignment horizontal="center" vertical="top"/>
      <protection locked="0"/>
    </xf>
    <xf numFmtId="0" fontId="33" fillId="5" borderId="5" xfId="543" applyFont="1" applyFill="1" applyBorder="1" applyAlignment="1" applyProtection="1">
      <alignment horizontal="center" vertical="top"/>
      <protection locked="0"/>
    </xf>
    <xf numFmtId="0" fontId="41" fillId="0" borderId="8" xfId="543" applyFont="1" applyBorder="1" applyAlignment="1">
      <alignment horizontal="center" vertical="center" wrapText="1"/>
    </xf>
    <xf numFmtId="0" fontId="41" fillId="0" borderId="0" xfId="543" applyFont="1" applyAlignment="1">
      <alignment horizontal="center" vertical="center" wrapText="1"/>
    </xf>
    <xf numFmtId="0" fontId="41" fillId="0" borderId="12" xfId="543" applyFont="1" applyBorder="1" applyAlignment="1">
      <alignment horizontal="center" vertical="center" wrapText="1"/>
    </xf>
    <xf numFmtId="0" fontId="21" fillId="0" borderId="1" xfId="0" applyFont="1" applyBorder="1" applyAlignment="1">
      <alignment horizontal="center"/>
    </xf>
    <xf numFmtId="0" fontId="21" fillId="0" borderId="2" xfId="0" applyFont="1" applyBorder="1" applyAlignment="1">
      <alignment horizontal="center"/>
    </xf>
    <xf numFmtId="0" fontId="21" fillId="0" borderId="7" xfId="0" applyFont="1" applyBorder="1" applyAlignment="1">
      <alignment horizontal="center"/>
    </xf>
    <xf numFmtId="14" fontId="0" fillId="5" borderId="4" xfId="0" applyNumberFormat="1" applyFill="1" applyBorder="1" applyAlignment="1" applyProtection="1">
      <alignment horizontal="center"/>
      <protection locked="0"/>
    </xf>
    <xf numFmtId="172" fontId="21" fillId="0" borderId="11" xfId="0" applyNumberFormat="1" applyFont="1" applyBorder="1" applyAlignment="1">
      <alignment horizontal="center" vertical="center" wrapText="1"/>
    </xf>
    <xf numFmtId="0" fontId="21" fillId="0" borderId="9" xfId="0" applyFont="1" applyBorder="1" applyAlignment="1">
      <alignment horizontal="right"/>
    </xf>
    <xf numFmtId="0" fontId="21" fillId="0" borderId="10" xfId="0" applyFont="1" applyBorder="1" applyAlignment="1">
      <alignment horizontal="right"/>
    </xf>
    <xf numFmtId="0" fontId="14" fillId="0" borderId="0" xfId="0" applyFont="1" applyAlignment="1">
      <alignment wrapText="1"/>
    </xf>
    <xf numFmtId="0" fontId="47" fillId="0" borderId="0" xfId="0" applyFont="1" applyAlignment="1">
      <alignment horizontal="center"/>
    </xf>
    <xf numFmtId="0" fontId="14" fillId="0" borderId="0" xfId="0" applyFont="1" applyAlignment="1">
      <alignment horizontal="center"/>
    </xf>
    <xf numFmtId="0" fontId="29" fillId="0" borderId="0" xfId="0" applyFont="1" applyAlignment="1">
      <alignment horizontal="center"/>
    </xf>
    <xf numFmtId="0" fontId="14" fillId="0" borderId="0" xfId="0" applyFont="1" applyAlignment="1">
      <alignment horizontal="center" vertical="top"/>
    </xf>
    <xf numFmtId="168" fontId="23" fillId="0" borderId="6" xfId="0" applyNumberFormat="1" applyFont="1" applyBorder="1" applyAlignment="1">
      <alignment horizontal="center"/>
    </xf>
    <xf numFmtId="0" fontId="22" fillId="0" borderId="0" xfId="0" applyFont="1" applyAlignment="1">
      <alignment horizontal="center"/>
    </xf>
    <xf numFmtId="0" fontId="175" fillId="0" borderId="8" xfId="543" applyFont="1" applyBorder="1" applyAlignment="1">
      <alignment horizontal="center" wrapText="1"/>
    </xf>
    <xf numFmtId="0" fontId="175" fillId="0" borderId="0" xfId="543" applyFont="1" applyAlignment="1">
      <alignment horizontal="center" wrapText="1"/>
    </xf>
    <xf numFmtId="0" fontId="175" fillId="0" borderId="12" xfId="543" applyFont="1" applyBorder="1" applyAlignment="1">
      <alignment horizontal="center" wrapText="1"/>
    </xf>
    <xf numFmtId="0" fontId="175" fillId="0" borderId="9" xfId="543" applyFont="1" applyBorder="1" applyAlignment="1">
      <alignment horizontal="center" wrapText="1"/>
    </xf>
    <xf numFmtId="0" fontId="175" fillId="0" borderId="6" xfId="543" applyFont="1" applyBorder="1" applyAlignment="1">
      <alignment horizontal="center" wrapText="1"/>
    </xf>
    <xf numFmtId="0" fontId="175" fillId="0" borderId="10" xfId="543" applyFont="1" applyBorder="1" applyAlignment="1">
      <alignment horizontal="center" wrapText="1"/>
    </xf>
    <xf numFmtId="0" fontId="175" fillId="0" borderId="8" xfId="543" applyFont="1" applyBorder="1" applyAlignment="1">
      <alignment horizontal="center" vertical="top" wrapText="1"/>
    </xf>
    <xf numFmtId="0" fontId="175" fillId="0" borderId="0" xfId="543" applyFont="1" applyAlignment="1">
      <alignment horizontal="center" vertical="top" wrapText="1"/>
    </xf>
    <xf numFmtId="0" fontId="175" fillId="0" borderId="12" xfId="543" applyFont="1" applyBorder="1" applyAlignment="1">
      <alignment horizontal="center" vertical="top" wrapText="1"/>
    </xf>
    <xf numFmtId="0" fontId="175" fillId="0" borderId="9" xfId="543" applyFont="1" applyBorder="1" applyAlignment="1">
      <alignment horizontal="center" vertical="top" wrapText="1"/>
    </xf>
    <xf numFmtId="0" fontId="175" fillId="0" borderId="6" xfId="543" applyFont="1" applyBorder="1" applyAlignment="1">
      <alignment horizontal="center" vertical="top" wrapText="1"/>
    </xf>
    <xf numFmtId="0" fontId="175" fillId="0" borderId="10" xfId="543" applyFont="1" applyBorder="1" applyAlignment="1">
      <alignment horizontal="center" vertical="top" wrapText="1"/>
    </xf>
    <xf numFmtId="0" fontId="170" fillId="0" borderId="0" xfId="0" applyFont="1" applyAlignment="1">
      <alignment horizontal="center" vertical="center" wrapText="1"/>
    </xf>
    <xf numFmtId="3" fontId="42" fillId="10" borderId="0" xfId="543" applyNumberFormat="1" applyFont="1" applyFill="1" applyAlignment="1">
      <alignment horizontal="left" vertical="center" wrapText="1"/>
    </xf>
    <xf numFmtId="1" fontId="14" fillId="0" borderId="3" xfId="0" applyNumberFormat="1" applyFont="1" applyBorder="1" applyAlignment="1">
      <alignment horizontal="center"/>
    </xf>
    <xf numFmtId="1" fontId="23" fillId="0" borderId="4" xfId="0" applyNumberFormat="1" applyFont="1" applyBorder="1" applyAlignment="1">
      <alignment horizontal="center"/>
    </xf>
    <xf numFmtId="1" fontId="23" fillId="0" borderId="5" xfId="0" applyNumberFormat="1" applyFont="1" applyBorder="1" applyAlignment="1">
      <alignment horizontal="center"/>
    </xf>
    <xf numFmtId="0" fontId="23" fillId="5" borderId="6" xfId="271" applyFill="1" applyBorder="1" applyProtection="1">
      <protection locked="0"/>
    </xf>
    <xf numFmtId="0" fontId="23" fillId="0" borderId="2" xfId="0" applyFont="1" applyBorder="1" applyAlignment="1">
      <alignment horizontal="left" vertical="top" wrapText="1"/>
    </xf>
    <xf numFmtId="177" fontId="23" fillId="5" borderId="6" xfId="0" applyNumberFormat="1" applyFont="1" applyFill="1" applyBorder="1" applyAlignment="1" applyProtection="1">
      <alignment horizontal="left" vertical="top" wrapText="1"/>
      <protection locked="0"/>
    </xf>
    <xf numFmtId="0" fontId="52" fillId="0" borderId="0" xfId="0" applyFont="1" applyAlignment="1">
      <alignment vertical="top" wrapText="1"/>
    </xf>
    <xf numFmtId="0" fontId="23" fillId="0" borderId="0" xfId="0" applyFont="1" applyAlignment="1">
      <alignment vertical="top" wrapText="1"/>
    </xf>
    <xf numFmtId="0" fontId="23" fillId="0" borderId="6" xfId="0" applyFont="1" applyBorder="1" applyAlignment="1">
      <alignment horizontal="right" vertical="top" wrapText="1"/>
    </xf>
    <xf numFmtId="0" fontId="23" fillId="0" borderId="6" xfId="0" applyFont="1" applyBorder="1" applyAlignment="1">
      <alignment vertical="top" wrapText="1"/>
    </xf>
    <xf numFmtId="0" fontId="56" fillId="2" borderId="3" xfId="0" applyFont="1" applyFill="1" applyBorder="1" applyAlignment="1">
      <alignment horizontal="center" vertical="top"/>
    </xf>
    <xf numFmtId="0" fontId="56" fillId="2" borderId="4" xfId="0" applyFont="1" applyFill="1" applyBorder="1" applyAlignment="1">
      <alignment horizontal="center" vertical="top"/>
    </xf>
    <xf numFmtId="0" fontId="56" fillId="2" borderId="5" xfId="0" applyFont="1" applyFill="1" applyBorder="1" applyAlignment="1">
      <alignment horizontal="center" vertical="top"/>
    </xf>
    <xf numFmtId="0" fontId="23" fillId="0" borderId="2" xfId="0" applyFont="1" applyBorder="1" applyAlignment="1">
      <alignment vertical="top" wrapText="1"/>
    </xf>
    <xf numFmtId="0" fontId="51" fillId="0" borderId="0" xfId="0" applyFont="1" applyAlignment="1">
      <alignment vertical="top" wrapText="1"/>
    </xf>
    <xf numFmtId="0" fontId="52" fillId="0" borderId="0" xfId="569" applyFont="1" applyAlignment="1">
      <alignment vertical="top" wrapText="1"/>
    </xf>
    <xf numFmtId="0" fontId="14" fillId="0" borderId="0" xfId="569" applyAlignment="1">
      <alignment horizontal="right" vertical="top" wrapText="1"/>
    </xf>
    <xf numFmtId="0" fontId="20" fillId="3" borderId="3" xfId="0" applyFont="1" applyFill="1" applyBorder="1" applyAlignment="1">
      <alignment horizontal="left" vertical="top"/>
    </xf>
    <xf numFmtId="0" fontId="20" fillId="3" borderId="4" xfId="0" applyFont="1" applyFill="1" applyBorder="1" applyAlignment="1">
      <alignment horizontal="left" vertical="top"/>
    </xf>
    <xf numFmtId="0" fontId="20" fillId="3" borderId="5" xfId="0" applyFont="1" applyFill="1" applyBorder="1" applyAlignment="1">
      <alignment horizontal="left" vertical="top"/>
    </xf>
    <xf numFmtId="164" fontId="14" fillId="0" borderId="50" xfId="4495" applyNumberFormat="1" applyFont="1" applyBorder="1" applyAlignment="1">
      <alignment horizontal="left" vertical="top" wrapText="1"/>
    </xf>
    <xf numFmtId="164" fontId="14" fillId="0" borderId="51" xfId="4495" applyNumberFormat="1" applyFont="1" applyBorder="1" applyAlignment="1">
      <alignment horizontal="left" vertical="top" wrapText="1"/>
    </xf>
    <xf numFmtId="164" fontId="14" fillId="0" borderId="52" xfId="4495" applyNumberFormat="1" applyFont="1" applyBorder="1" applyAlignment="1">
      <alignment horizontal="left" vertical="top" wrapText="1"/>
    </xf>
    <xf numFmtId="164" fontId="14" fillId="0" borderId="53" xfId="4495" applyNumberFormat="1" applyFont="1" applyBorder="1" applyAlignment="1">
      <alignment horizontal="left" vertical="top" wrapText="1"/>
    </xf>
    <xf numFmtId="164" fontId="14" fillId="0" borderId="0" xfId="4495" applyNumberFormat="1" applyFont="1" applyAlignment="1">
      <alignment horizontal="left" vertical="top" wrapText="1"/>
    </xf>
    <xf numFmtId="164" fontId="14" fillId="0" borderId="54" xfId="4495" applyNumberFormat="1" applyFont="1" applyBorder="1" applyAlignment="1">
      <alignment horizontal="left" vertical="top" wrapText="1"/>
    </xf>
    <xf numFmtId="164" fontId="14" fillId="0" borderId="57" xfId="4495" applyNumberFormat="1" applyFont="1" applyBorder="1" applyAlignment="1">
      <alignment horizontal="left" vertical="top" wrapText="1"/>
    </xf>
    <xf numFmtId="164" fontId="14" fillId="0" borderId="58" xfId="4495" applyNumberFormat="1" applyFont="1" applyBorder="1" applyAlignment="1">
      <alignment horizontal="left" vertical="top" wrapText="1"/>
    </xf>
    <xf numFmtId="164" fontId="14" fillId="0" borderId="59" xfId="4495" applyNumberFormat="1" applyFont="1" applyBorder="1" applyAlignment="1">
      <alignment horizontal="left" vertical="top" wrapText="1"/>
    </xf>
    <xf numFmtId="0" fontId="14" fillId="45" borderId="11" xfId="4495" applyFont="1" applyFill="1" applyBorder="1" applyAlignment="1">
      <alignment horizontal="center"/>
    </xf>
    <xf numFmtId="4" fontId="22" fillId="0" borderId="3" xfId="4495" applyNumberFormat="1" applyFont="1" applyBorder="1" applyAlignment="1">
      <alignment horizontal="center"/>
    </xf>
    <xf numFmtId="4" fontId="22" fillId="0" borderId="4" xfId="4495" applyNumberFormat="1" applyFont="1" applyBorder="1" applyAlignment="1">
      <alignment horizontal="center"/>
    </xf>
    <xf numFmtId="4" fontId="22" fillId="0" borderId="5" xfId="4495" applyNumberFormat="1" applyFont="1" applyBorder="1" applyAlignment="1">
      <alignment horizontal="center"/>
    </xf>
    <xf numFmtId="165" fontId="120" fillId="0" borderId="3" xfId="4496" applyNumberFormat="1" applyFont="1" applyBorder="1" applyAlignment="1">
      <alignment horizontal="center" vertical="top" wrapText="1"/>
    </xf>
    <xf numFmtId="165" fontId="120" fillId="0" borderId="4" xfId="4496" applyNumberFormat="1" applyFont="1" applyBorder="1" applyAlignment="1">
      <alignment horizontal="center" vertical="top" wrapText="1"/>
    </xf>
    <xf numFmtId="165" fontId="120" fillId="0" borderId="5" xfId="4496" applyNumberFormat="1" applyFont="1" applyBorder="1" applyAlignment="1">
      <alignment horizontal="center" vertical="top" wrapText="1"/>
    </xf>
    <xf numFmtId="3" fontId="14" fillId="43" borderId="6" xfId="1192" applyNumberFormat="1" applyFill="1" applyBorder="1" applyAlignment="1" applyProtection="1">
      <alignment horizontal="right"/>
      <protection locked="0"/>
    </xf>
    <xf numFmtId="168" fontId="14" fillId="0" borderId="0" xfId="1192" applyNumberFormat="1" applyAlignment="1">
      <alignment horizontal="right"/>
    </xf>
    <xf numFmtId="0" fontId="140" fillId="0" borderId="0" xfId="1192" applyFont="1" applyAlignment="1">
      <alignment horizontal="center"/>
    </xf>
    <xf numFmtId="168" fontId="14" fillId="43" borderId="6" xfId="543" applyNumberFormat="1" applyFill="1" applyBorder="1" applyAlignment="1" applyProtection="1">
      <alignment horizontal="center"/>
      <protection locked="0"/>
    </xf>
    <xf numFmtId="168" fontId="14" fillId="5" borderId="4" xfId="1192" applyNumberFormat="1" applyFill="1" applyBorder="1" applyAlignment="1" applyProtection="1">
      <alignment horizontal="center"/>
      <protection locked="0"/>
    </xf>
    <xf numFmtId="4" fontId="22" fillId="0" borderId="0" xfId="4495" applyNumberFormat="1" applyFont="1" applyAlignment="1">
      <alignment horizontal="center"/>
    </xf>
    <xf numFmtId="4" fontId="22" fillId="0" borderId="6" xfId="4495" applyNumberFormat="1" applyFont="1" applyBorder="1" applyAlignment="1">
      <alignment horizontal="center"/>
    </xf>
    <xf numFmtId="1" fontId="14" fillId="5" borderId="2" xfId="1192" applyNumberFormat="1" applyFill="1" applyBorder="1" applyAlignment="1" applyProtection="1">
      <alignment horizontal="center"/>
      <protection locked="0"/>
    </xf>
    <xf numFmtId="168" fontId="14" fillId="0" borderId="6" xfId="1192" applyNumberFormat="1" applyBorder="1" applyAlignment="1">
      <alignment horizontal="right"/>
    </xf>
    <xf numFmtId="168" fontId="14" fillId="0" borderId="4" xfId="1192" applyNumberFormat="1" applyBorder="1" applyAlignment="1">
      <alignment horizontal="right"/>
    </xf>
    <xf numFmtId="0" fontId="14" fillId="0" borderId="53" xfId="4495" applyFont="1" applyBorder="1" applyAlignment="1">
      <alignment horizontal="left" vertical="top" wrapText="1"/>
    </xf>
    <xf numFmtId="0" fontId="14" fillId="0" borderId="0" xfId="4495" applyFont="1" applyAlignment="1">
      <alignment horizontal="left" vertical="top" wrapText="1"/>
    </xf>
    <xf numFmtId="0" fontId="14" fillId="0" borderId="54" xfId="4495" applyFont="1" applyBorder="1" applyAlignment="1">
      <alignment horizontal="left" vertical="top" wrapText="1"/>
    </xf>
    <xf numFmtId="0" fontId="14" fillId="0" borderId="57" xfId="4495" applyFont="1" applyBorder="1" applyAlignment="1">
      <alignment horizontal="left" vertical="top" wrapText="1"/>
    </xf>
    <xf numFmtId="0" fontId="14" fillId="0" borderId="58" xfId="4495" applyFont="1" applyBorder="1" applyAlignment="1">
      <alignment horizontal="left" vertical="top" wrapText="1"/>
    </xf>
    <xf numFmtId="168" fontId="14" fillId="0" borderId="6" xfId="4496" applyNumberFormat="1" applyFont="1" applyBorder="1" applyAlignment="1">
      <alignment horizontal="center"/>
    </xf>
    <xf numFmtId="168" fontId="14" fillId="0" borderId="4" xfId="4496" applyNumberFormat="1" applyFont="1" applyBorder="1" applyAlignment="1">
      <alignment horizontal="center"/>
    </xf>
    <xf numFmtId="9" fontId="14" fillId="0" borderId="4" xfId="4496" applyNumberFormat="1" applyFont="1" applyBorder="1" applyAlignment="1">
      <alignment horizontal="center"/>
    </xf>
    <xf numFmtId="0" fontId="14" fillId="0" borderId="3" xfId="4495" applyFont="1" applyBorder="1" applyAlignment="1">
      <alignment horizontal="center"/>
    </xf>
    <xf numFmtId="0" fontId="14" fillId="0" borderId="4" xfId="4495" applyFont="1" applyBorder="1" applyAlignment="1">
      <alignment horizontal="center"/>
    </xf>
    <xf numFmtId="0" fontId="14" fillId="0" borderId="5" xfId="4495" applyFont="1" applyBorder="1" applyAlignment="1">
      <alignment horizontal="center"/>
    </xf>
    <xf numFmtId="0" fontId="21" fillId="0" borderId="0" xfId="4495" applyFont="1" applyAlignment="1">
      <alignment horizontal="center"/>
    </xf>
    <xf numFmtId="0" fontId="22" fillId="0" borderId="51" xfId="4495" applyFont="1" applyBorder="1" applyAlignment="1">
      <alignment horizontal="left" vertical="top" wrapText="1"/>
    </xf>
    <xf numFmtId="0" fontId="22" fillId="0" borderId="0" xfId="4495" applyFont="1" applyAlignment="1">
      <alignment horizontal="left" vertical="top" wrapText="1"/>
    </xf>
    <xf numFmtId="0" fontId="21" fillId="0" borderId="0" xfId="4495" applyFont="1" applyAlignment="1">
      <alignment horizontal="right"/>
    </xf>
    <xf numFmtId="10" fontId="22" fillId="0" borderId="2" xfId="4495" applyNumberFormat="1" applyFont="1" applyBorder="1" applyAlignment="1">
      <alignment horizontal="center"/>
    </xf>
    <xf numFmtId="0" fontId="22" fillId="0" borderId="0" xfId="4495" applyFont="1" applyAlignment="1">
      <alignment horizontal="center"/>
    </xf>
    <xf numFmtId="9" fontId="22" fillId="5" borderId="6" xfId="4495" applyNumberFormat="1" applyFont="1" applyFill="1" applyBorder="1" applyAlignment="1">
      <alignment horizontal="left"/>
    </xf>
    <xf numFmtId="0" fontId="128" fillId="0" borderId="0" xfId="4495" applyFont="1" applyAlignment="1">
      <alignment horizontal="left" vertical="top" wrapText="1"/>
    </xf>
    <xf numFmtId="0" fontId="30" fillId="42" borderId="2" xfId="4495" applyFont="1" applyFill="1" applyBorder="1" applyAlignment="1">
      <alignment horizontal="center"/>
    </xf>
    <xf numFmtId="0" fontId="30" fillId="42" borderId="6" xfId="4495" applyFont="1" applyFill="1" applyBorder="1" applyAlignment="1">
      <alignment horizontal="center"/>
    </xf>
    <xf numFmtId="0" fontId="21" fillId="0" borderId="11" xfId="4495" applyFont="1" applyBorder="1" applyAlignment="1">
      <alignment horizontal="center"/>
    </xf>
    <xf numFmtId="0" fontId="118" fillId="5" borderId="55" xfId="4495" applyFill="1" applyBorder="1" applyAlignment="1" applyProtection="1">
      <alignment horizontal="center"/>
      <protection locked="0"/>
    </xf>
    <xf numFmtId="0" fontId="118" fillId="5" borderId="6" xfId="4495" applyFill="1" applyBorder="1" applyAlignment="1" applyProtection="1">
      <alignment horizontal="center"/>
      <protection locked="0"/>
    </xf>
    <xf numFmtId="0" fontId="21" fillId="0" borderId="54" xfId="4495" applyFont="1" applyBorder="1" applyAlignment="1">
      <alignment horizontal="center"/>
    </xf>
    <xf numFmtId="0" fontId="14" fillId="5" borderId="6" xfId="4495" applyFont="1" applyFill="1" applyBorder="1" applyAlignment="1" applyProtection="1">
      <alignment horizontal="center" vertical="center" wrapText="1" shrinkToFit="1"/>
      <protection locked="0"/>
    </xf>
    <xf numFmtId="0" fontId="116" fillId="0" borderId="4" xfId="1192" applyFont="1" applyBorder="1" applyAlignment="1">
      <alignment horizontal="left"/>
    </xf>
    <xf numFmtId="0" fontId="140" fillId="0" borderId="6" xfId="1192" applyFont="1" applyBorder="1" applyAlignment="1">
      <alignment horizontal="center"/>
    </xf>
    <xf numFmtId="0" fontId="14" fillId="0" borderId="6" xfId="1192" applyBorder="1" applyAlignment="1">
      <alignment horizontal="left"/>
    </xf>
    <xf numFmtId="9" fontId="14" fillId="5" borderId="4" xfId="1192" applyNumberFormat="1" applyFill="1" applyBorder="1" applyAlignment="1" applyProtection="1">
      <alignment horizontal="left"/>
      <protection locked="0"/>
    </xf>
    <xf numFmtId="0" fontId="14" fillId="0" borderId="6" xfId="1192" applyBorder="1" applyAlignment="1">
      <alignment horizontal="right"/>
    </xf>
    <xf numFmtId="168" fontId="14" fillId="43" borderId="6" xfId="1192" applyNumberFormat="1" applyFill="1" applyBorder="1" applyAlignment="1" applyProtection="1">
      <alignment horizontal="right"/>
      <protection locked="0"/>
    </xf>
    <xf numFmtId="0" fontId="21" fillId="0" borderId="4" xfId="4495" applyFont="1" applyBorder="1" applyAlignment="1">
      <alignment horizontal="left"/>
    </xf>
    <xf numFmtId="0" fontId="21" fillId="0" borderId="5" xfId="4495" applyFont="1" applyBorder="1" applyAlignment="1">
      <alignment horizontal="left"/>
    </xf>
    <xf numFmtId="1" fontId="21" fillId="0" borderId="11" xfId="4495" applyNumberFormat="1" applyFont="1" applyBorder="1" applyAlignment="1">
      <alignment horizontal="center"/>
    </xf>
    <xf numFmtId="0" fontId="21" fillId="0" borderId="3" xfId="4495" applyFont="1" applyBorder="1" applyAlignment="1">
      <alignment horizontal="center" wrapText="1"/>
    </xf>
    <xf numFmtId="0" fontId="21" fillId="0" borderId="4" xfId="4495" applyFont="1" applyBorder="1" applyAlignment="1">
      <alignment horizontal="center" wrapText="1"/>
    </xf>
    <xf numFmtId="0" fontId="21" fillId="0" borderId="5" xfId="4495" applyFont="1" applyBorder="1" applyAlignment="1">
      <alignment horizontal="center" wrapText="1"/>
    </xf>
    <xf numFmtId="0" fontId="14" fillId="0" borderId="4" xfId="4495" applyFont="1" applyBorder="1" applyAlignment="1">
      <alignment horizontal="left"/>
    </xf>
    <xf numFmtId="0" fontId="14" fillId="0" borderId="5" xfId="4495" applyFont="1" applyBorder="1" applyAlignment="1">
      <alignment horizontal="left"/>
    </xf>
    <xf numFmtId="1" fontId="14" fillId="0" borderId="11" xfId="4495" applyNumberFormat="1" applyFont="1" applyBorder="1" applyAlignment="1">
      <alignment horizontal="center"/>
    </xf>
    <xf numFmtId="0" fontId="14" fillId="0" borderId="11" xfId="4495" applyFont="1" applyBorder="1" applyAlignment="1">
      <alignment horizontal="center"/>
    </xf>
    <xf numFmtId="1" fontId="14" fillId="46" borderId="11" xfId="4495" applyNumberFormat="1" applyFont="1" applyFill="1" applyBorder="1" applyAlignment="1">
      <alignment horizontal="center"/>
    </xf>
    <xf numFmtId="0" fontId="21" fillId="0" borderId="3" xfId="4495" applyFont="1" applyBorder="1" applyAlignment="1">
      <alignment horizontal="center"/>
    </xf>
    <xf numFmtId="0" fontId="21" fillId="0" borderId="4" xfId="4495" applyFont="1" applyBorder="1" applyAlignment="1">
      <alignment horizontal="center"/>
    </xf>
    <xf numFmtId="0" fontId="21" fillId="0" borderId="5" xfId="4495" applyFont="1" applyBorder="1" applyAlignment="1">
      <alignment horizontal="center"/>
    </xf>
    <xf numFmtId="0" fontId="21" fillId="0" borderId="3" xfId="4495" applyFont="1" applyBorder="1" applyAlignment="1">
      <alignment horizontal="left"/>
    </xf>
    <xf numFmtId="0" fontId="14" fillId="5" borderId="11" xfId="4495" applyFont="1" applyFill="1" applyBorder="1" applyAlignment="1" applyProtection="1">
      <alignment horizontal="center"/>
      <protection locked="0"/>
    </xf>
    <xf numFmtId="164" fontId="62" fillId="0" borderId="1" xfId="4495" applyNumberFormat="1" applyFont="1" applyBorder="1" applyAlignment="1">
      <alignment horizontal="right" vertical="center"/>
    </xf>
    <xf numFmtId="164" fontId="62" fillId="0" borderId="2" xfId="4495" applyNumberFormat="1" applyFont="1" applyBorder="1" applyAlignment="1">
      <alignment horizontal="right" vertical="center"/>
    </xf>
    <xf numFmtId="164" fontId="62" fillId="0" borderId="7" xfId="4495" applyNumberFormat="1" applyFont="1" applyBorder="1" applyAlignment="1">
      <alignment horizontal="right" vertical="center"/>
    </xf>
    <xf numFmtId="164" fontId="62" fillId="0" borderId="9" xfId="4495" applyNumberFormat="1" applyFont="1" applyBorder="1" applyAlignment="1">
      <alignment horizontal="right" vertical="center"/>
    </xf>
    <xf numFmtId="164" fontId="62" fillId="0" borderId="6" xfId="4495" applyNumberFormat="1" applyFont="1" applyBorder="1" applyAlignment="1">
      <alignment horizontal="right" vertical="center"/>
    </xf>
    <xf numFmtId="164" fontId="62" fillId="0" borderId="10" xfId="4495" applyNumberFormat="1" applyFont="1" applyBorder="1" applyAlignment="1">
      <alignment horizontal="right" vertical="center"/>
    </xf>
    <xf numFmtId="180" fontId="62" fillId="0" borderId="1" xfId="4495" applyNumberFormat="1" applyFont="1" applyBorder="1" applyAlignment="1">
      <alignment horizontal="center" vertical="center"/>
    </xf>
    <xf numFmtId="180" fontId="62" fillId="0" borderId="2" xfId="4495" applyNumberFormat="1" applyFont="1" applyBorder="1" applyAlignment="1">
      <alignment horizontal="center" vertical="center"/>
    </xf>
    <xf numFmtId="180" fontId="62" fillId="0" borderId="7" xfId="4495" applyNumberFormat="1" applyFont="1" applyBorder="1" applyAlignment="1">
      <alignment horizontal="center" vertical="center"/>
    </xf>
    <xf numFmtId="180" fontId="62" fillId="0" borderId="9" xfId="4495" applyNumberFormat="1" applyFont="1" applyBorder="1" applyAlignment="1">
      <alignment horizontal="center" vertical="center"/>
    </xf>
    <xf numFmtId="180" fontId="62" fillId="0" borderId="6" xfId="4495" applyNumberFormat="1" applyFont="1" applyBorder="1" applyAlignment="1">
      <alignment horizontal="center" vertical="center"/>
    </xf>
    <xf numFmtId="180" fontId="62" fillId="0" borderId="10" xfId="4495" applyNumberFormat="1" applyFont="1" applyBorder="1" applyAlignment="1">
      <alignment horizontal="center" vertical="center"/>
    </xf>
    <xf numFmtId="1" fontId="21" fillId="0" borderId="4" xfId="4495" applyNumberFormat="1" applyFont="1" applyBorder="1" applyAlignment="1">
      <alignment horizontal="center" wrapText="1"/>
    </xf>
    <xf numFmtId="0" fontId="14" fillId="0" borderId="50" xfId="4496" applyFont="1" applyBorder="1" applyAlignment="1">
      <alignment horizontal="left" wrapText="1"/>
    </xf>
    <xf numFmtId="0" fontId="14" fillId="0" borderId="51" xfId="4496" applyFont="1" applyBorder="1" applyAlignment="1">
      <alignment horizontal="left" wrapText="1"/>
    </xf>
    <xf numFmtId="0" fontId="14" fillId="0" borderId="52" xfId="4496" applyFont="1" applyBorder="1" applyAlignment="1">
      <alignment horizontal="left" wrapText="1"/>
    </xf>
    <xf numFmtId="0" fontId="14" fillId="0" borderId="53" xfId="4496" applyFont="1" applyBorder="1" applyAlignment="1">
      <alignment horizontal="left" wrapText="1"/>
    </xf>
    <xf numFmtId="0" fontId="14" fillId="0" borderId="0" xfId="4496" applyFont="1" applyAlignment="1">
      <alignment horizontal="left" wrapText="1"/>
    </xf>
    <xf numFmtId="0" fontId="14" fillId="0" borderId="54" xfId="4496" applyFont="1" applyBorder="1" applyAlignment="1">
      <alignment horizontal="left" wrapText="1"/>
    </xf>
    <xf numFmtId="0" fontId="14" fillId="0" borderId="57" xfId="4496" applyFont="1" applyBorder="1" applyAlignment="1">
      <alignment horizontal="left" wrapText="1"/>
    </xf>
    <xf numFmtId="0" fontId="14" fillId="0" borderId="58" xfId="4496" applyFont="1" applyBorder="1" applyAlignment="1">
      <alignment horizontal="left" wrapText="1"/>
    </xf>
    <xf numFmtId="0" fontId="14" fillId="0" borderId="59" xfId="4496" applyFont="1" applyBorder="1" applyAlignment="1">
      <alignment horizontal="left" wrapText="1"/>
    </xf>
    <xf numFmtId="1" fontId="14" fillId="0" borderId="4" xfId="4496" applyNumberFormat="1" applyFont="1" applyBorder="1" applyAlignment="1">
      <alignment horizontal="center"/>
    </xf>
    <xf numFmtId="1" fontId="14" fillId="0" borderId="5" xfId="4496" applyNumberFormat="1" applyFont="1" applyBorder="1" applyAlignment="1">
      <alignment horizontal="center"/>
    </xf>
    <xf numFmtId="49" fontId="20" fillId="3" borderId="2" xfId="4495" applyNumberFormat="1" applyFont="1" applyFill="1" applyBorder="1" applyAlignment="1">
      <alignment horizontal="center" vertical="center" wrapText="1"/>
    </xf>
    <xf numFmtId="49" fontId="20" fillId="3" borderId="2" xfId="4495" applyNumberFormat="1" applyFont="1" applyFill="1" applyBorder="1" applyAlignment="1">
      <alignment horizontal="center" vertical="center"/>
    </xf>
    <xf numFmtId="49" fontId="20" fillId="3" borderId="0" xfId="4495" applyNumberFormat="1" applyFont="1" applyFill="1" applyAlignment="1">
      <alignment horizontal="center" vertical="center"/>
    </xf>
    <xf numFmtId="0" fontId="21" fillId="0" borderId="1" xfId="4495" applyFont="1" applyBorder="1" applyAlignment="1">
      <alignment horizontal="center" wrapText="1"/>
    </xf>
    <xf numFmtId="0" fontId="21" fillId="0" borderId="2" xfId="4495" applyFont="1" applyBorder="1" applyAlignment="1">
      <alignment horizontal="center" wrapText="1"/>
    </xf>
    <xf numFmtId="0" fontId="21" fillId="0" borderId="7" xfId="4495" applyFont="1" applyBorder="1" applyAlignment="1">
      <alignment horizontal="center" wrapText="1"/>
    </xf>
    <xf numFmtId="0" fontId="21" fillId="0" borderId="9" xfId="4495" applyFont="1" applyBorder="1" applyAlignment="1">
      <alignment horizontal="center" wrapText="1"/>
    </xf>
    <xf numFmtId="0" fontId="21" fillId="0" borderId="6" xfId="4495" applyFont="1" applyBorder="1" applyAlignment="1">
      <alignment horizontal="center" wrapText="1"/>
    </xf>
    <xf numFmtId="0" fontId="21" fillId="0" borderId="10" xfId="4495" applyFont="1" applyBorder="1" applyAlignment="1">
      <alignment horizontal="center" wrapText="1"/>
    </xf>
    <xf numFmtId="0" fontId="21" fillId="0" borderId="0" xfId="4495" applyFont="1" applyAlignment="1">
      <alignment horizontal="center" vertical="top"/>
    </xf>
    <xf numFmtId="0" fontId="120" fillId="0" borderId="50" xfId="4496" applyFont="1" applyBorder="1" applyAlignment="1">
      <alignment horizontal="left" wrapText="1"/>
    </xf>
    <xf numFmtId="0" fontId="120" fillId="0" borderId="51" xfId="4496" applyFont="1" applyBorder="1" applyAlignment="1">
      <alignment horizontal="left" wrapText="1"/>
    </xf>
    <xf numFmtId="0" fontId="120" fillId="0" borderId="52" xfId="4496" applyFont="1" applyBorder="1" applyAlignment="1">
      <alignment horizontal="left" wrapText="1"/>
    </xf>
    <xf numFmtId="0" fontId="120" fillId="0" borderId="57" xfId="4496" applyFont="1" applyBorder="1" applyAlignment="1">
      <alignment horizontal="left" wrapText="1"/>
    </xf>
    <xf numFmtId="0" fontId="120" fillId="0" borderId="58" xfId="4496" applyFont="1" applyBorder="1" applyAlignment="1">
      <alignment horizontal="left" wrapText="1"/>
    </xf>
    <xf numFmtId="0" fontId="120" fillId="0" borderId="59" xfId="4496" applyFont="1" applyBorder="1" applyAlignment="1">
      <alignment horizontal="left" wrapText="1"/>
    </xf>
    <xf numFmtId="0" fontId="118" fillId="5" borderId="50" xfId="4495" applyFill="1" applyBorder="1" applyAlignment="1">
      <alignment horizontal="center"/>
    </xf>
    <xf numFmtId="0" fontId="118" fillId="5" borderId="51" xfId="4495" applyFill="1" applyBorder="1" applyAlignment="1">
      <alignment horizontal="center"/>
    </xf>
    <xf numFmtId="0" fontId="118" fillId="0" borderId="53" xfId="4495" applyBorder="1" applyAlignment="1">
      <alignment horizontal="center"/>
    </xf>
    <xf numFmtId="0" fontId="118" fillId="0" borderId="0" xfId="4495" applyAlignment="1">
      <alignment horizontal="center"/>
    </xf>
    <xf numFmtId="0" fontId="22" fillId="5" borderId="0" xfId="4495" applyFont="1" applyFill="1" applyAlignment="1">
      <alignment horizontal="left" vertical="top"/>
    </xf>
    <xf numFmtId="0" fontId="118" fillId="5" borderId="53" xfId="4495" applyFill="1" applyBorder="1" applyAlignment="1">
      <alignment horizontal="center"/>
    </xf>
    <xf numFmtId="0" fontId="118" fillId="5" borderId="0" xfId="4495" applyFill="1" applyAlignment="1">
      <alignment horizontal="center"/>
    </xf>
    <xf numFmtId="0" fontId="22" fillId="0" borderId="58" xfId="4495" applyFont="1" applyBorder="1" applyAlignment="1">
      <alignment horizontal="left" vertical="top" wrapText="1"/>
    </xf>
    <xf numFmtId="0" fontId="22" fillId="5" borderId="58" xfId="4495" applyFont="1" applyFill="1" applyBorder="1" applyAlignment="1">
      <alignment horizontal="left"/>
    </xf>
    <xf numFmtId="0" fontId="51" fillId="0" borderId="51" xfId="4495" applyFont="1" applyBorder="1" applyAlignment="1">
      <alignment horizontal="left" vertical="top" wrapText="1"/>
    </xf>
    <xf numFmtId="0" fontId="51" fillId="0" borderId="0" xfId="4495" applyFont="1" applyAlignment="1">
      <alignment horizontal="left" vertical="top" wrapText="1"/>
    </xf>
    <xf numFmtId="9" fontId="22" fillId="5" borderId="58" xfId="4495" applyNumberFormat="1" applyFont="1" applyFill="1" applyBorder="1" applyAlignment="1">
      <alignment horizontal="left"/>
    </xf>
    <xf numFmtId="0" fontId="118" fillId="5" borderId="55" xfId="4495" applyFill="1" applyBorder="1" applyAlignment="1">
      <alignment horizontal="center"/>
    </xf>
    <xf numFmtId="0" fontId="118" fillId="5" borderId="6" xfId="4495" applyFill="1" applyBorder="1" applyAlignment="1">
      <alignment horizontal="center"/>
    </xf>
    <xf numFmtId="0" fontId="22" fillId="5" borderId="0" xfId="4495" applyFont="1" applyFill="1" applyAlignment="1">
      <alignment horizontal="left" vertical="top" wrapText="1"/>
    </xf>
    <xf numFmtId="0" fontId="22" fillId="5" borderId="58" xfId="4495" applyFont="1" applyFill="1" applyBorder="1" applyAlignment="1">
      <alignment horizontal="left" vertical="top" wrapText="1"/>
    </xf>
    <xf numFmtId="0" fontId="22" fillId="5" borderId="6" xfId="4495" applyFont="1" applyFill="1" applyBorder="1" applyAlignment="1">
      <alignment horizontal="left"/>
    </xf>
    <xf numFmtId="0" fontId="118" fillId="5" borderId="62" xfId="4495" applyFill="1" applyBorder="1" applyAlignment="1">
      <alignment horizontal="center"/>
    </xf>
    <xf numFmtId="0" fontId="118" fillId="5" borderId="63" xfId="4495" applyFill="1" applyBorder="1" applyAlignment="1">
      <alignment horizontal="center"/>
    </xf>
    <xf numFmtId="0" fontId="21" fillId="0" borderId="51" xfId="4495" applyFont="1" applyBorder="1" applyAlignment="1">
      <alignment horizontal="center" vertical="top"/>
    </xf>
    <xf numFmtId="0" fontId="21" fillId="0" borderId="52" xfId="4495" applyFont="1" applyBorder="1" applyAlignment="1">
      <alignment horizontal="center" vertical="top"/>
    </xf>
    <xf numFmtId="0" fontId="51" fillId="0" borderId="51" xfId="4495" applyFont="1" applyBorder="1" applyAlignment="1">
      <alignment horizontal="left" wrapText="1"/>
    </xf>
    <xf numFmtId="0" fontId="51" fillId="0" borderId="0" xfId="4495" applyFont="1" applyAlignment="1">
      <alignment horizontal="left" wrapText="1"/>
    </xf>
    <xf numFmtId="0" fontId="21" fillId="0" borderId="54" xfId="4495" applyFont="1" applyBorder="1" applyAlignment="1">
      <alignment horizontal="center" vertical="top"/>
    </xf>
    <xf numFmtId="0" fontId="128" fillId="0" borderId="0" xfId="4495" applyFont="1" applyAlignment="1">
      <alignment horizontal="left" vertical="center" wrapText="1"/>
    </xf>
    <xf numFmtId="0" fontId="21" fillId="0" borderId="0" xfId="4495" applyFont="1" applyAlignment="1">
      <alignment horizontal="left" vertical="top" wrapText="1"/>
    </xf>
    <xf numFmtId="0" fontId="14" fillId="0" borderId="0" xfId="4495" applyFont="1" applyAlignment="1">
      <alignment horizontal="left" vertical="top" wrapText="1" shrinkToFit="1"/>
    </xf>
    <xf numFmtId="44" fontId="14" fillId="0" borderId="0" xfId="707" applyFont="1" applyFill="1" applyBorder="1" applyAlignment="1" applyProtection="1">
      <alignment horizontal="left" vertical="top" wrapText="1"/>
    </xf>
    <xf numFmtId="0" fontId="14" fillId="0" borderId="0" xfId="4495" applyFont="1" applyAlignment="1">
      <alignment wrapText="1"/>
    </xf>
    <xf numFmtId="0" fontId="14" fillId="5" borderId="6" xfId="4495" applyFont="1" applyFill="1" applyBorder="1" applyAlignment="1" applyProtection="1">
      <alignment horizontal="center"/>
      <protection locked="0"/>
    </xf>
    <xf numFmtId="0" fontId="14" fillId="0" borderId="0" xfId="4495" applyFont="1" applyAlignment="1">
      <alignment horizontal="left" vertical="center" wrapText="1" shrinkToFit="1"/>
    </xf>
    <xf numFmtId="0" fontId="14" fillId="5" borderId="6" xfId="4495" applyFont="1" applyFill="1" applyBorder="1" applyAlignment="1" applyProtection="1">
      <alignment horizontal="left" wrapText="1" shrinkToFit="1"/>
      <protection locked="0"/>
    </xf>
    <xf numFmtId="0" fontId="14" fillId="43" borderId="6" xfId="1192" applyFill="1" applyBorder="1" applyAlignment="1" applyProtection="1">
      <alignment horizontal="left" vertical="top"/>
      <protection locked="0"/>
    </xf>
    <xf numFmtId="0" fontId="173" fillId="0" borderId="0" xfId="0" applyFont="1" applyAlignment="1" applyProtection="1">
      <alignment horizontal="left"/>
      <protection locked="0"/>
    </xf>
    <xf numFmtId="168" fontId="170" fillId="0" borderId="0" xfId="0" applyNumberFormat="1" applyFont="1" applyAlignment="1">
      <alignment horizontal="center" vertical="top" wrapText="1"/>
    </xf>
    <xf numFmtId="168" fontId="170" fillId="0" borderId="12" xfId="0" applyNumberFormat="1" applyFont="1" applyBorder="1" applyAlignment="1">
      <alignment horizontal="center" vertical="top" wrapText="1"/>
    </xf>
    <xf numFmtId="0" fontId="14" fillId="0" borderId="50" xfId="4495" applyFont="1" applyBorder="1" applyAlignment="1">
      <alignment horizontal="left" vertical="center" wrapText="1"/>
    </xf>
    <xf numFmtId="0" fontId="14" fillId="0" borderId="51" xfId="4495" applyFont="1" applyBorder="1" applyAlignment="1">
      <alignment horizontal="left" vertical="center" wrapText="1"/>
    </xf>
    <xf numFmtId="0" fontId="14" fillId="0" borderId="52" xfId="4495" applyFont="1" applyBorder="1" applyAlignment="1">
      <alignment horizontal="left" vertical="center" wrapText="1"/>
    </xf>
    <xf numFmtId="0" fontId="14" fillId="0" borderId="53" xfId="4495" applyFont="1" applyBorder="1" applyAlignment="1">
      <alignment horizontal="left" vertical="center" wrapText="1"/>
    </xf>
    <xf numFmtId="0" fontId="14" fillId="0" borderId="0" xfId="4495" applyFont="1" applyAlignment="1">
      <alignment horizontal="left" vertical="center" wrapText="1"/>
    </xf>
    <xf numFmtId="0" fontId="14" fillId="0" borderId="54" xfId="4495" applyFont="1" applyBorder="1" applyAlignment="1">
      <alignment horizontal="left" vertical="center" wrapText="1"/>
    </xf>
    <xf numFmtId="0" fontId="14" fillId="43" borderId="53" xfId="4495" applyFont="1" applyFill="1" applyBorder="1" applyAlignment="1" applyProtection="1">
      <alignment vertical="top" wrapText="1"/>
      <protection locked="0"/>
    </xf>
    <xf numFmtId="0" fontId="14" fillId="43" borderId="0" xfId="4495" applyFont="1" applyFill="1" applyAlignment="1" applyProtection="1">
      <alignment vertical="top" wrapText="1"/>
      <protection locked="0"/>
    </xf>
    <xf numFmtId="0" fontId="14" fillId="43" borderId="54" xfId="4495" applyFont="1" applyFill="1" applyBorder="1" applyAlignment="1" applyProtection="1">
      <alignment vertical="top" wrapText="1"/>
      <protection locked="0"/>
    </xf>
    <xf numFmtId="0" fontId="14" fillId="43" borderId="55" xfId="4495" applyFont="1" applyFill="1" applyBorder="1" applyAlignment="1" applyProtection="1">
      <alignment vertical="top" wrapText="1"/>
      <protection locked="0"/>
    </xf>
    <xf numFmtId="0" fontId="14" fillId="43" borderId="6" xfId="4495" applyFont="1" applyFill="1" applyBorder="1" applyAlignment="1" applyProtection="1">
      <alignment vertical="top" wrapText="1"/>
      <protection locked="0"/>
    </xf>
    <xf numFmtId="0" fontId="14" fillId="43" borderId="56" xfId="4495" applyFont="1" applyFill="1" applyBorder="1" applyAlignment="1" applyProtection="1">
      <alignment vertical="top" wrapText="1"/>
      <protection locked="0"/>
    </xf>
    <xf numFmtId="0" fontId="14" fillId="43" borderId="0" xfId="4495" applyFont="1" applyFill="1" applyAlignment="1" applyProtection="1">
      <alignment horizontal="left" vertical="center" wrapText="1"/>
      <protection locked="0"/>
    </xf>
    <xf numFmtId="0" fontId="14" fillId="43" borderId="54" xfId="4495" applyFont="1" applyFill="1" applyBorder="1" applyAlignment="1" applyProtection="1">
      <alignment horizontal="left" vertical="center" wrapText="1"/>
      <protection locked="0"/>
    </xf>
    <xf numFmtId="0" fontId="14" fillId="43" borderId="6" xfId="4495" applyFont="1" applyFill="1" applyBorder="1" applyAlignment="1" applyProtection="1">
      <alignment horizontal="left" vertical="center" wrapText="1"/>
      <protection locked="0"/>
    </xf>
    <xf numFmtId="0" fontId="14" fillId="43" borderId="56" xfId="4495" applyFont="1" applyFill="1" applyBorder="1" applyAlignment="1" applyProtection="1">
      <alignment horizontal="left" vertical="center" wrapText="1"/>
      <protection locked="0"/>
    </xf>
    <xf numFmtId="0" fontId="118" fillId="5" borderId="62" xfId="4495" applyFill="1" applyBorder="1" applyAlignment="1" applyProtection="1">
      <alignment horizontal="center"/>
      <protection locked="0"/>
    </xf>
    <xf numFmtId="0" fontId="118" fillId="5" borderId="63" xfId="4495" applyFill="1" applyBorder="1" applyAlignment="1" applyProtection="1">
      <alignment horizontal="center"/>
      <protection locked="0"/>
    </xf>
    <xf numFmtId="0" fontId="14" fillId="0" borderId="59" xfId="4495" applyFont="1" applyBorder="1" applyAlignment="1">
      <alignment horizontal="left" vertical="top" wrapText="1"/>
    </xf>
    <xf numFmtId="0" fontId="14" fillId="0" borderId="4" xfId="4496" applyFont="1" applyBorder="1" applyAlignment="1">
      <alignment horizontal="center"/>
    </xf>
    <xf numFmtId="0" fontId="14" fillId="0" borderId="5" xfId="4496" applyFont="1" applyBorder="1" applyAlignment="1">
      <alignment horizontal="center"/>
    </xf>
    <xf numFmtId="0" fontId="14" fillId="0" borderId="50" xfId="4495" applyFont="1" applyBorder="1" applyAlignment="1">
      <alignment horizontal="left" vertical="top" wrapText="1"/>
    </xf>
    <xf numFmtId="0" fontId="14" fillId="0" borderId="51" xfId="4495" applyFont="1" applyBorder="1" applyAlignment="1">
      <alignment horizontal="left" vertical="top" wrapText="1"/>
    </xf>
    <xf numFmtId="0" fontId="14" fillId="0" borderId="52" xfId="4495" applyFont="1" applyBorder="1" applyAlignment="1">
      <alignment horizontal="left" vertical="top" wrapText="1"/>
    </xf>
    <xf numFmtId="0" fontId="21" fillId="0" borderId="0" xfId="4495" applyFont="1"/>
    <xf numFmtId="0" fontId="14" fillId="0" borderId="57" xfId="4495" applyFont="1" applyBorder="1" applyAlignment="1">
      <alignment horizontal="left" vertical="center" wrapText="1"/>
    </xf>
    <xf numFmtId="0" fontId="14" fillId="0" borderId="58" xfId="4495" applyFont="1" applyBorder="1" applyAlignment="1">
      <alignment horizontal="left" vertical="center" wrapText="1"/>
    </xf>
    <xf numFmtId="0" fontId="14" fillId="0" borderId="59" xfId="4495" applyFont="1" applyBorder="1" applyAlignment="1">
      <alignment horizontal="left" vertical="center" wrapText="1"/>
    </xf>
    <xf numFmtId="0" fontId="21" fillId="0" borderId="0" xfId="4495" applyFont="1" applyAlignment="1">
      <alignment horizontal="left" vertical="top"/>
    </xf>
    <xf numFmtId="0" fontId="118" fillId="0" borderId="0" xfId="4495" applyAlignment="1" applyProtection="1">
      <alignment horizontal="center"/>
      <protection locked="0"/>
    </xf>
    <xf numFmtId="9" fontId="14" fillId="0" borderId="4" xfId="543" applyNumberFormat="1" applyBorder="1" applyAlignment="1">
      <alignment horizontal="center"/>
    </xf>
    <xf numFmtId="168" fontId="14" fillId="0" borderId="6" xfId="4495" applyNumberFormat="1" applyFont="1" applyBorder="1" applyAlignment="1">
      <alignment horizontal="right"/>
    </xf>
    <xf numFmtId="168" fontId="116" fillId="0" borderId="6" xfId="4495" applyNumberFormat="1" applyFont="1" applyBorder="1" applyAlignment="1">
      <alignment horizontal="right"/>
    </xf>
    <xf numFmtId="168" fontId="14" fillId="43" borderId="6" xfId="4495" applyNumberFormat="1" applyFont="1" applyFill="1" applyBorder="1" applyAlignment="1" applyProtection="1">
      <alignment horizontal="right"/>
      <protection locked="0"/>
    </xf>
    <xf numFmtId="6" fontId="14" fillId="0" borderId="3" xfId="1192" applyNumberFormat="1" applyBorder="1" applyAlignment="1">
      <alignment horizontal="right"/>
    </xf>
    <xf numFmtId="6" fontId="14" fillId="0" borderId="4" xfId="1192" applyNumberFormat="1" applyBorder="1" applyAlignment="1">
      <alignment horizontal="right"/>
    </xf>
    <xf numFmtId="6" fontId="14" fillId="0" borderId="5" xfId="1192" applyNumberFormat="1" applyBorder="1" applyAlignment="1">
      <alignment horizontal="right"/>
    </xf>
    <xf numFmtId="168" fontId="14" fillId="0" borderId="4" xfId="4495" applyNumberFormat="1" applyFont="1" applyBorder="1" applyAlignment="1">
      <alignment horizontal="right"/>
    </xf>
    <xf numFmtId="165" fontId="14" fillId="43" borderId="3" xfId="4495" applyNumberFormat="1" applyFont="1" applyFill="1" applyBorder="1" applyAlignment="1" applyProtection="1">
      <alignment horizontal="center"/>
      <protection locked="0"/>
    </xf>
    <xf numFmtId="165" fontId="14" fillId="43" borderId="4" xfId="4495" applyNumberFormat="1" applyFont="1" applyFill="1" applyBorder="1" applyAlignment="1" applyProtection="1">
      <alignment horizontal="center"/>
      <protection locked="0"/>
    </xf>
    <xf numFmtId="165" fontId="14" fillId="43" borderId="5" xfId="4495" applyNumberFormat="1" applyFont="1" applyFill="1" applyBorder="1" applyAlignment="1" applyProtection="1">
      <alignment horizontal="center"/>
      <protection locked="0"/>
    </xf>
    <xf numFmtId="165" fontId="14" fillId="0" borderId="6" xfId="1192" applyNumberFormat="1" applyBorder="1" applyAlignment="1">
      <alignment horizontal="right"/>
    </xf>
    <xf numFmtId="168" fontId="14" fillId="0" borderId="2" xfId="1192" applyNumberFormat="1" applyBorder="1" applyAlignment="1">
      <alignment horizontal="right"/>
    </xf>
    <xf numFmtId="0" fontId="14" fillId="5" borderId="6" xfId="1192" applyFill="1" applyBorder="1" applyAlignment="1" applyProtection="1">
      <alignment horizontal="left"/>
      <protection locked="0"/>
    </xf>
    <xf numFmtId="165" fontId="14" fillId="0" borderId="0" xfId="1192" applyNumberFormat="1" applyAlignment="1">
      <alignment horizontal="right"/>
    </xf>
    <xf numFmtId="2" fontId="14" fillId="0" borderId="0" xfId="1192" applyNumberFormat="1" applyAlignment="1">
      <alignment horizontal="right"/>
    </xf>
    <xf numFmtId="1" fontId="14" fillId="0" borderId="3" xfId="4495" applyNumberFormat="1" applyFont="1" applyBorder="1" applyAlignment="1">
      <alignment horizontal="center"/>
    </xf>
    <xf numFmtId="1" fontId="14" fillId="0" borderId="4" xfId="4495" applyNumberFormat="1" applyFont="1" applyBorder="1" applyAlignment="1">
      <alignment horizontal="center"/>
    </xf>
    <xf numFmtId="1" fontId="14" fillId="0" borderId="5" xfId="4495" applyNumberFormat="1" applyFont="1" applyBorder="1" applyAlignment="1">
      <alignment horizontal="center"/>
    </xf>
    <xf numFmtId="0" fontId="22" fillId="5" borderId="6" xfId="4495" applyFont="1" applyFill="1" applyBorder="1" applyAlignment="1" applyProtection="1">
      <alignment horizontal="left"/>
      <protection locked="0"/>
    </xf>
    <xf numFmtId="0" fontId="14" fillId="0" borderId="0" xfId="4495" applyFont="1" applyAlignment="1">
      <alignment horizontal="left"/>
    </xf>
    <xf numFmtId="0" fontId="14" fillId="5" borderId="6" xfId="4495" applyFont="1" applyFill="1" applyBorder="1" applyAlignment="1" applyProtection="1">
      <alignment horizontal="left"/>
      <protection locked="0"/>
    </xf>
    <xf numFmtId="0" fontId="51" fillId="5" borderId="6" xfId="4495" applyFont="1" applyFill="1" applyBorder="1" applyAlignment="1" applyProtection="1">
      <alignment horizontal="left"/>
      <protection locked="0"/>
    </xf>
    <xf numFmtId="0" fontId="14" fillId="44" borderId="6" xfId="4495" applyFont="1" applyFill="1" applyBorder="1" applyAlignment="1">
      <alignment horizontal="left"/>
    </xf>
    <xf numFmtId="0" fontId="14" fillId="0" borderId="0" xfId="1192" applyAlignment="1">
      <alignment horizontal="right"/>
    </xf>
    <xf numFmtId="9" fontId="14" fillId="0" borderId="6" xfId="1192" applyNumberFormat="1" applyBorder="1" applyAlignment="1">
      <alignment horizontal="center"/>
    </xf>
    <xf numFmtId="9" fontId="14" fillId="0" borderId="6" xfId="1192" quotePrefix="1" applyNumberFormat="1" applyBorder="1" applyAlignment="1">
      <alignment horizontal="center"/>
    </xf>
    <xf numFmtId="9" fontId="14" fillId="0" borderId="0" xfId="1192" quotePrefix="1" applyNumberFormat="1" applyAlignment="1">
      <alignment horizontal="center"/>
    </xf>
    <xf numFmtId="1" fontId="14" fillId="5" borderId="4" xfId="1192" applyNumberFormat="1" applyFill="1" applyBorder="1" applyAlignment="1" applyProtection="1">
      <alignment horizontal="center"/>
      <protection locked="0"/>
    </xf>
    <xf numFmtId="1" fontId="120" fillId="0" borderId="55" xfId="4496" applyNumberFormat="1" applyFont="1" applyBorder="1" applyAlignment="1">
      <alignment horizontal="center" vertical="top" wrapText="1"/>
    </xf>
    <xf numFmtId="1" fontId="120" fillId="0" borderId="6" xfId="4496" applyNumberFormat="1" applyFont="1" applyBorder="1" applyAlignment="1">
      <alignment horizontal="center" vertical="top" wrapText="1"/>
    </xf>
    <xf numFmtId="165" fontId="120" fillId="0" borderId="55" xfId="4496" applyNumberFormat="1" applyFont="1" applyBorder="1" applyAlignment="1">
      <alignment horizontal="center" vertical="top" wrapText="1"/>
    </xf>
    <xf numFmtId="165" fontId="120" fillId="0" borderId="6" xfId="4496" applyNumberFormat="1" applyFont="1" applyBorder="1" applyAlignment="1">
      <alignment horizontal="center" vertical="top" wrapText="1"/>
    </xf>
    <xf numFmtId="168" fontId="120" fillId="43" borderId="55" xfId="4496" applyNumberFormat="1" applyFont="1" applyFill="1" applyBorder="1" applyAlignment="1" applyProtection="1">
      <alignment horizontal="center" vertical="top" wrapText="1"/>
      <protection locked="0"/>
    </xf>
    <xf numFmtId="168" fontId="120" fillId="43" borderId="6" xfId="4496" applyNumberFormat="1" applyFont="1" applyFill="1" applyBorder="1" applyAlignment="1" applyProtection="1">
      <alignment horizontal="center" vertical="top" wrapText="1"/>
      <protection locked="0"/>
    </xf>
    <xf numFmtId="0" fontId="120" fillId="0" borderId="50" xfId="4496" applyFont="1" applyBorder="1" applyAlignment="1">
      <alignment horizontal="left" vertical="top" wrapText="1"/>
    </xf>
    <xf numFmtId="0" fontId="120" fillId="0" borderId="51" xfId="4496" applyFont="1" applyBorder="1" applyAlignment="1">
      <alignment horizontal="left" vertical="top" wrapText="1"/>
    </xf>
    <xf numFmtId="0" fontId="120" fillId="0" borderId="52" xfId="4496" applyFont="1" applyBorder="1" applyAlignment="1">
      <alignment horizontal="left" vertical="top" wrapText="1"/>
    </xf>
    <xf numFmtId="0" fontId="120" fillId="0" borderId="53" xfId="4496" applyFont="1" applyBorder="1" applyAlignment="1">
      <alignment horizontal="left" vertical="top" wrapText="1"/>
    </xf>
    <xf numFmtId="0" fontId="120" fillId="0" borderId="0" xfId="4496" applyFont="1" applyAlignment="1">
      <alignment horizontal="left" vertical="top" wrapText="1"/>
    </xf>
    <xf numFmtId="0" fontId="120" fillId="0" borderId="54" xfId="4496" applyFont="1" applyBorder="1" applyAlignment="1">
      <alignment horizontal="left" vertical="top" wrapText="1"/>
    </xf>
    <xf numFmtId="168" fontId="120" fillId="0" borderId="55" xfId="4496" applyNumberFormat="1" applyFont="1" applyBorder="1" applyAlignment="1">
      <alignment horizontal="center" vertical="top"/>
    </xf>
    <xf numFmtId="168" fontId="120" fillId="0" borderId="6" xfId="4496" applyNumberFormat="1" applyFont="1" applyBorder="1" applyAlignment="1">
      <alignment horizontal="center" vertical="top"/>
    </xf>
    <xf numFmtId="0" fontId="120" fillId="5" borderId="6" xfId="4496" applyFont="1" applyFill="1" applyBorder="1" applyAlignment="1" applyProtection="1">
      <alignment horizontal="center"/>
      <protection locked="0"/>
    </xf>
    <xf numFmtId="10" fontId="120" fillId="0" borderId="3" xfId="4496" applyNumberFormat="1" applyFont="1" applyBorder="1" applyAlignment="1">
      <alignment horizontal="center" vertical="top" wrapText="1"/>
    </xf>
    <xf numFmtId="10" fontId="120" fillId="0" borderId="4" xfId="4496" applyNumberFormat="1" applyFont="1" applyBorder="1" applyAlignment="1">
      <alignment horizontal="center" vertical="top" wrapText="1"/>
    </xf>
    <xf numFmtId="10" fontId="120" fillId="0" borderId="5" xfId="4496" applyNumberFormat="1" applyFont="1" applyBorder="1" applyAlignment="1">
      <alignment horizontal="center" vertical="top" wrapText="1"/>
    </xf>
    <xf numFmtId="0" fontId="120" fillId="0" borderId="55" xfId="4496" applyFont="1" applyBorder="1" applyAlignment="1">
      <alignment horizontal="center" vertical="top" wrapText="1"/>
    </xf>
    <xf numFmtId="0" fontId="120" fillId="0" borderId="6" xfId="4496" applyFont="1" applyBorder="1" applyAlignment="1">
      <alignment horizontal="center" vertical="top" wrapText="1"/>
    </xf>
    <xf numFmtId="0" fontId="20" fillId="3" borderId="2" xfId="4495" applyFont="1" applyFill="1" applyBorder="1" applyAlignment="1">
      <alignment horizontal="center" vertical="center"/>
    </xf>
    <xf numFmtId="0" fontId="20" fillId="3" borderId="16" xfId="4495" applyFont="1" applyFill="1" applyBorder="1" applyAlignment="1">
      <alignment horizontal="center" vertical="center"/>
    </xf>
    <xf numFmtId="0" fontId="21" fillId="0" borderId="48" xfId="4495" applyFont="1" applyBorder="1" applyAlignment="1">
      <alignment horizontal="left" vertical="top"/>
    </xf>
    <xf numFmtId="0" fontId="21" fillId="0" borderId="49" xfId="4495" applyFont="1" applyBorder="1" applyAlignment="1">
      <alignment horizontal="left" vertical="top"/>
    </xf>
    <xf numFmtId="0" fontId="14" fillId="0" borderId="50" xfId="4495" applyFont="1" applyBorder="1" applyAlignment="1">
      <alignment vertical="center" wrapText="1"/>
    </xf>
    <xf numFmtId="0" fontId="14" fillId="0" borderId="51" xfId="4495" applyFont="1" applyBorder="1" applyAlignment="1">
      <alignment vertical="center" wrapText="1"/>
    </xf>
    <xf numFmtId="0" fontId="14" fillId="0" borderId="52" xfId="4495" applyFont="1" applyBorder="1" applyAlignment="1">
      <alignment vertical="center" wrapText="1"/>
    </xf>
    <xf numFmtId="0" fontId="14" fillId="0" borderId="57" xfId="4495" applyFont="1" applyBorder="1" applyAlignment="1">
      <alignment vertical="center" wrapText="1"/>
    </xf>
    <xf numFmtId="0" fontId="14" fillId="0" borderId="58" xfId="4495" applyFont="1" applyBorder="1" applyAlignment="1">
      <alignment vertical="center" wrapText="1"/>
    </xf>
    <xf numFmtId="0" fontId="14" fillId="0" borderId="59" xfId="4495" applyFont="1" applyBorder="1" applyAlignment="1">
      <alignment vertical="center" wrapText="1"/>
    </xf>
    <xf numFmtId="0" fontId="120" fillId="43" borderId="55" xfId="4496" applyFont="1" applyFill="1" applyBorder="1" applyAlignment="1" applyProtection="1">
      <alignment horizontal="left" vertical="top" wrapText="1"/>
      <protection locked="0"/>
    </xf>
    <xf numFmtId="0" fontId="120" fillId="43" borderId="6" xfId="4496" applyFont="1" applyFill="1" applyBorder="1" applyAlignment="1" applyProtection="1">
      <alignment horizontal="left" vertical="top" wrapText="1"/>
      <protection locked="0"/>
    </xf>
    <xf numFmtId="0" fontId="120" fillId="43" borderId="56" xfId="4496" applyFont="1" applyFill="1" applyBorder="1" applyAlignment="1" applyProtection="1">
      <alignment horizontal="left" vertical="top" wrapText="1"/>
      <protection locked="0"/>
    </xf>
    <xf numFmtId="165" fontId="120" fillId="0" borderId="60" xfId="4496" applyNumberFormat="1" applyFont="1" applyBorder="1" applyAlignment="1">
      <alignment horizontal="center" vertical="top" wrapText="1"/>
    </xf>
    <xf numFmtId="0" fontId="120" fillId="5" borderId="60" xfId="4496" applyFont="1" applyFill="1" applyBorder="1" applyAlignment="1" applyProtection="1">
      <alignment horizontal="center"/>
      <protection locked="0"/>
    </xf>
    <xf numFmtId="0" fontId="120" fillId="5" borderId="4" xfId="4496" applyFont="1" applyFill="1" applyBorder="1" applyAlignment="1" applyProtection="1">
      <alignment horizontal="center"/>
      <protection locked="0"/>
    </xf>
    <xf numFmtId="0" fontId="120" fillId="0" borderId="57" xfId="4496" applyFont="1" applyBorder="1" applyAlignment="1">
      <alignment horizontal="left" vertical="top" wrapText="1"/>
    </xf>
    <xf numFmtId="0" fontId="120" fillId="0" borderId="58" xfId="4496" applyFont="1" applyBorder="1" applyAlignment="1">
      <alignment horizontal="left" vertical="top" wrapText="1"/>
    </xf>
    <xf numFmtId="0" fontId="120" fillId="0" borderId="59" xfId="4496" applyFont="1" applyBorder="1" applyAlignment="1">
      <alignment horizontal="left" vertical="top" wrapText="1"/>
    </xf>
    <xf numFmtId="0" fontId="120" fillId="5" borderId="55" xfId="4496" applyFont="1" applyFill="1" applyBorder="1" applyAlignment="1" applyProtection="1">
      <alignment horizontal="center"/>
      <protection locked="0"/>
    </xf>
    <xf numFmtId="0" fontId="120" fillId="0" borderId="47" xfId="4496" applyFont="1" applyBorder="1"/>
    <xf numFmtId="0" fontId="120" fillId="0" borderId="48" xfId="4496" applyFont="1" applyBorder="1"/>
    <xf numFmtId="0" fontId="120" fillId="0" borderId="49" xfId="4496" applyFont="1" applyBorder="1"/>
    <xf numFmtId="0" fontId="96" fillId="0" borderId="0" xfId="4496" applyFont="1" applyAlignment="1">
      <alignment horizontal="left" wrapText="1"/>
    </xf>
    <xf numFmtId="0" fontId="96" fillId="43" borderId="0" xfId="4496" applyFont="1" applyFill="1" applyAlignment="1" applyProtection="1">
      <alignment horizontal="left" vertical="top" wrapText="1"/>
      <protection locked="0"/>
    </xf>
    <xf numFmtId="0" fontId="96" fillId="43" borderId="6" xfId="4496" applyFont="1" applyFill="1" applyBorder="1" applyAlignment="1" applyProtection="1">
      <alignment horizontal="left" vertical="top" wrapText="1"/>
      <protection locked="0"/>
    </xf>
    <xf numFmtId="49" fontId="96" fillId="45" borderId="15" xfId="4496" applyNumberFormat="1" applyFont="1" applyFill="1" applyBorder="1" applyAlignment="1">
      <alignment horizontal="center" vertical="center" wrapText="1"/>
    </xf>
    <xf numFmtId="49" fontId="96" fillId="45" borderId="13" xfId="4496" applyNumberFormat="1" applyFont="1" applyFill="1" applyBorder="1" applyAlignment="1">
      <alignment horizontal="center" vertical="center" wrapText="1"/>
    </xf>
    <xf numFmtId="0" fontId="135" fillId="0" borderId="90" xfId="4496" applyFont="1" applyBorder="1" applyAlignment="1">
      <alignment horizontal="center" vertical="top" wrapText="1"/>
    </xf>
    <xf numFmtId="0" fontId="135" fillId="0" borderId="89" xfId="4496" applyFont="1" applyBorder="1" applyAlignment="1">
      <alignment horizontal="center" vertical="top" wrapText="1"/>
    </xf>
    <xf numFmtId="168" fontId="96" fillId="0" borderId="84" xfId="4499" applyNumberFormat="1" applyFont="1" applyFill="1" applyBorder="1" applyAlignment="1" applyProtection="1">
      <alignment horizontal="left" vertical="center" indent="1"/>
    </xf>
    <xf numFmtId="168" fontId="96" fillId="0" borderId="83" xfId="4499" applyNumberFormat="1" applyFont="1" applyFill="1" applyBorder="1" applyAlignment="1" applyProtection="1">
      <alignment horizontal="left" vertical="center" indent="1"/>
    </xf>
    <xf numFmtId="0" fontId="96" fillId="0" borderId="11" xfId="4496" applyFont="1" applyBorder="1" applyAlignment="1">
      <alignment horizontal="left" indent="1"/>
    </xf>
    <xf numFmtId="0" fontId="96" fillId="0" borderId="15" xfId="4496" applyFont="1" applyBorder="1" applyAlignment="1">
      <alignment horizontal="left" indent="1"/>
    </xf>
    <xf numFmtId="0" fontId="135" fillId="0" borderId="71" xfId="4496" applyFont="1" applyBorder="1" applyAlignment="1">
      <alignment horizontal="left" indent="1"/>
    </xf>
    <xf numFmtId="168" fontId="96" fillId="0" borderId="11" xfId="4499" applyNumberFormat="1" applyFont="1" applyFill="1" applyBorder="1" applyAlignment="1" applyProtection="1">
      <alignment horizontal="left" vertical="center" indent="1"/>
    </xf>
    <xf numFmtId="168" fontId="96" fillId="0" borderId="13" xfId="4499" applyNumberFormat="1" applyFont="1" applyFill="1" applyBorder="1" applyAlignment="1" applyProtection="1">
      <alignment horizontal="left" vertical="center" indent="1"/>
    </xf>
    <xf numFmtId="49" fontId="134" fillId="3" borderId="0" xfId="1192" applyNumberFormat="1" applyFont="1" applyFill="1" applyAlignment="1">
      <alignment horizontal="center" vertical="center"/>
    </xf>
    <xf numFmtId="0" fontId="135" fillId="45" borderId="3" xfId="4496" applyFont="1" applyFill="1" applyBorder="1" applyAlignment="1">
      <alignment horizontal="center" vertical="center"/>
    </xf>
    <xf numFmtId="0" fontId="135" fillId="45" borderId="4" xfId="4496" applyFont="1" applyFill="1" applyBorder="1" applyAlignment="1">
      <alignment horizontal="center" vertical="center"/>
    </xf>
    <xf numFmtId="0" fontId="135" fillId="45" borderId="5" xfId="4496" applyFont="1" applyFill="1" applyBorder="1" applyAlignment="1">
      <alignment horizontal="center" vertical="center"/>
    </xf>
    <xf numFmtId="9" fontId="135" fillId="45" borderId="3" xfId="4499" applyFont="1" applyFill="1" applyBorder="1" applyAlignment="1" applyProtection="1">
      <alignment horizontal="center" vertical="center"/>
    </xf>
    <xf numFmtId="9" fontId="135" fillId="45" borderId="4" xfId="4499" applyFont="1" applyFill="1" applyBorder="1" applyAlignment="1" applyProtection="1">
      <alignment horizontal="center" vertical="center"/>
    </xf>
    <xf numFmtId="9" fontId="135" fillId="45" borderId="5" xfId="4499" applyFont="1" applyFill="1" applyBorder="1" applyAlignment="1" applyProtection="1">
      <alignment horizontal="center" vertical="center"/>
    </xf>
    <xf numFmtId="0" fontId="96" fillId="0" borderId="71" xfId="4496" applyFont="1" applyBorder="1"/>
    <xf numFmtId="0" fontId="96" fillId="0" borderId="74" xfId="4496" applyFont="1" applyBorder="1"/>
    <xf numFmtId="0" fontId="96" fillId="0" borderId="11" xfId="4496" applyFont="1" applyBorder="1"/>
    <xf numFmtId="0" fontId="96" fillId="0" borderId="91" xfId="4496" applyFont="1" applyBorder="1"/>
    <xf numFmtId="0" fontId="96" fillId="0" borderId="80" xfId="4496" applyFont="1" applyBorder="1" applyAlignment="1">
      <alignment horizontal="right"/>
    </xf>
    <xf numFmtId="0" fontId="96" fillId="0" borderId="11" xfId="4496" applyFont="1" applyBorder="1" applyAlignment="1">
      <alignment horizontal="right"/>
    </xf>
    <xf numFmtId="0" fontId="96" fillId="0" borderId="72" xfId="4496" applyFont="1" applyBorder="1" applyAlignment="1">
      <alignment horizontal="right"/>
    </xf>
    <xf numFmtId="0" fontId="96" fillId="0" borderId="73" xfId="4496" applyFont="1" applyBorder="1" applyAlignment="1">
      <alignment horizontal="right"/>
    </xf>
    <xf numFmtId="0" fontId="96" fillId="0" borderId="73" xfId="4496" applyFont="1" applyBorder="1"/>
    <xf numFmtId="0" fontId="96" fillId="0" borderId="93" xfId="4496" applyFont="1" applyBorder="1"/>
    <xf numFmtId="0" fontId="96" fillId="0" borderId="70" xfId="4496" applyFont="1" applyBorder="1" applyAlignment="1">
      <alignment horizontal="right"/>
    </xf>
    <xf numFmtId="0" fontId="96" fillId="0" borderId="71" xfId="4496" applyFont="1" applyBorder="1" applyAlignment="1">
      <alignment horizontal="right"/>
    </xf>
    <xf numFmtId="0" fontId="147" fillId="45" borderId="72" xfId="8726" applyFont="1" applyFill="1" applyBorder="1" applyAlignment="1">
      <alignment horizontal="center"/>
    </xf>
    <xf numFmtId="0" fontId="147" fillId="45" borderId="73" xfId="8726" applyFont="1" applyFill="1" applyBorder="1" applyAlignment="1">
      <alignment horizontal="center"/>
    </xf>
    <xf numFmtId="0" fontId="2" fillId="49" borderId="73" xfId="8726" applyFill="1" applyBorder="1" applyAlignment="1" applyProtection="1">
      <alignment horizontal="center"/>
      <protection locked="0"/>
    </xf>
    <xf numFmtId="0" fontId="2" fillId="49" borderId="93" xfId="8726" applyFill="1" applyBorder="1" applyAlignment="1" applyProtection="1">
      <alignment horizontal="center"/>
      <protection locked="0"/>
    </xf>
    <xf numFmtId="0" fontId="2" fillId="49" borderId="11" xfId="8726" applyFill="1" applyBorder="1" applyAlignment="1" applyProtection="1">
      <alignment horizontal="center"/>
      <protection locked="0"/>
    </xf>
    <xf numFmtId="0" fontId="2" fillId="49" borderId="91" xfId="8726" applyFill="1" applyBorder="1" applyAlignment="1" applyProtection="1">
      <alignment horizontal="center"/>
      <protection locked="0"/>
    </xf>
    <xf numFmtId="0" fontId="147" fillId="45" borderId="80" xfId="8726" applyFont="1" applyFill="1" applyBorder="1" applyAlignment="1">
      <alignment horizontal="center"/>
    </xf>
    <xf numFmtId="0" fontId="147" fillId="45" borderId="11" xfId="8726" applyFont="1" applyFill="1" applyBorder="1" applyAlignment="1">
      <alignment horizontal="center"/>
    </xf>
    <xf numFmtId="0" fontId="147" fillId="45" borderId="11" xfId="8726" applyFont="1" applyFill="1" applyBorder="1" applyAlignment="1">
      <alignment horizontal="center" wrapText="1"/>
    </xf>
    <xf numFmtId="0" fontId="148" fillId="45" borderId="11" xfId="8726" applyFont="1" applyFill="1" applyBorder="1" applyAlignment="1">
      <alignment horizontal="center"/>
    </xf>
    <xf numFmtId="0" fontId="148" fillId="45" borderId="91" xfId="8726" applyFont="1" applyFill="1" applyBorder="1" applyAlignment="1">
      <alignment horizontal="center"/>
    </xf>
    <xf numFmtId="0" fontId="100" fillId="45" borderId="70" xfId="8726" applyFont="1" applyFill="1" applyBorder="1" applyAlignment="1">
      <alignment horizontal="center"/>
    </xf>
    <xf numFmtId="0" fontId="100" fillId="45" borderId="71" xfId="8726" applyFont="1" applyFill="1" applyBorder="1" applyAlignment="1">
      <alignment horizontal="center"/>
    </xf>
    <xf numFmtId="0" fontId="100" fillId="45" borderId="74" xfId="8726" applyFont="1" applyFill="1" applyBorder="1" applyAlignment="1">
      <alignment horizontal="center"/>
    </xf>
    <xf numFmtId="0" fontId="100" fillId="45" borderId="70" xfId="8726" applyFont="1" applyFill="1" applyBorder="1" applyAlignment="1">
      <alignment horizontal="left" wrapText="1"/>
    </xf>
    <xf numFmtId="0" fontId="100" fillId="45" borderId="71" xfId="8726" applyFont="1" applyFill="1" applyBorder="1" applyAlignment="1">
      <alignment horizontal="left" wrapText="1"/>
    </xf>
    <xf numFmtId="0" fontId="100" fillId="45" borderId="80" xfId="8726" applyFont="1" applyFill="1" applyBorder="1" applyAlignment="1">
      <alignment horizontal="left" wrapText="1"/>
    </xf>
    <xf numFmtId="0" fontId="100" fillId="45" borderId="11" xfId="8726" applyFont="1" applyFill="1" applyBorder="1" applyAlignment="1">
      <alignment horizontal="left" wrapText="1"/>
    </xf>
    <xf numFmtId="0" fontId="161" fillId="49" borderId="80" xfId="8726" applyFont="1" applyFill="1" applyBorder="1" applyAlignment="1">
      <alignment horizontal="left" vertical="top"/>
    </xf>
    <xf numFmtId="0" fontId="161" fillId="49" borderId="11" xfId="8726" applyFont="1" applyFill="1" applyBorder="1" applyAlignment="1">
      <alignment horizontal="left" vertical="top"/>
    </xf>
    <xf numFmtId="0" fontId="161" fillId="49" borderId="91" xfId="8726" applyFont="1" applyFill="1" applyBorder="1" applyAlignment="1">
      <alignment horizontal="left" vertical="top"/>
    </xf>
    <xf numFmtId="0" fontId="161" fillId="49" borderId="72" xfId="8726" applyFont="1" applyFill="1" applyBorder="1" applyAlignment="1">
      <alignment horizontal="left" vertical="top"/>
    </xf>
    <xf numFmtId="0" fontId="161" fillId="49" borderId="73" xfId="8726" applyFont="1" applyFill="1" applyBorder="1" applyAlignment="1">
      <alignment horizontal="left" vertical="top"/>
    </xf>
    <xf numFmtId="0" fontId="161" fillId="49" borderId="93" xfId="8726" applyFont="1" applyFill="1" applyBorder="1" applyAlignment="1">
      <alignment horizontal="left" vertical="top"/>
    </xf>
    <xf numFmtId="10" fontId="2" fillId="49" borderId="84" xfId="8726" applyNumberFormat="1" applyFill="1" applyBorder="1" applyAlignment="1" applyProtection="1">
      <alignment horizontal="center"/>
      <protection locked="0"/>
    </xf>
    <xf numFmtId="10" fontId="2" fillId="49" borderId="82" xfId="8726" applyNumberFormat="1" applyFill="1" applyBorder="1" applyAlignment="1" applyProtection="1">
      <alignment horizontal="center"/>
      <protection locked="0"/>
    </xf>
    <xf numFmtId="10" fontId="2" fillId="49" borderId="85" xfId="8726" applyNumberFormat="1" applyFill="1" applyBorder="1" applyAlignment="1" applyProtection="1">
      <alignment horizontal="center"/>
      <protection locked="0"/>
    </xf>
    <xf numFmtId="0" fontId="2" fillId="49" borderId="3" xfId="8726" applyFill="1" applyBorder="1" applyAlignment="1" applyProtection="1">
      <alignment horizontal="center"/>
      <protection locked="0"/>
    </xf>
    <xf numFmtId="0" fontId="2" fillId="49" borderId="4" xfId="8726" applyFill="1" applyBorder="1" applyAlignment="1" applyProtection="1">
      <alignment horizontal="center"/>
      <protection locked="0"/>
    </xf>
    <xf numFmtId="0" fontId="2" fillId="49" borderId="79" xfId="8726" applyFill="1" applyBorder="1" applyAlignment="1" applyProtection="1">
      <alignment horizontal="center"/>
      <protection locked="0"/>
    </xf>
    <xf numFmtId="0" fontId="146" fillId="49" borderId="3" xfId="8726" applyFont="1" applyFill="1" applyBorder="1" applyAlignment="1" applyProtection="1">
      <alignment horizontal="center"/>
      <protection locked="0"/>
    </xf>
    <xf numFmtId="0" fontId="146" fillId="49" borderId="4" xfId="8726" applyFont="1" applyFill="1" applyBorder="1" applyAlignment="1" applyProtection="1">
      <alignment horizontal="center"/>
      <protection locked="0"/>
    </xf>
    <xf numFmtId="0" fontId="146" fillId="49" borderId="79" xfId="8726" applyFont="1" applyFill="1" applyBorder="1" applyAlignment="1" applyProtection="1">
      <alignment horizontal="center"/>
      <protection locked="0"/>
    </xf>
    <xf numFmtId="10" fontId="2" fillId="0" borderId="84" xfId="8726" applyNumberFormat="1" applyBorder="1" applyAlignment="1">
      <alignment horizontal="center"/>
    </xf>
    <xf numFmtId="10" fontId="2" fillId="0" borderId="82" xfId="8726" applyNumberFormat="1" applyBorder="1" applyAlignment="1">
      <alignment horizontal="center"/>
    </xf>
    <xf numFmtId="10" fontId="2" fillId="0" borderId="85" xfId="8726" applyNumberFormat="1" applyBorder="1" applyAlignment="1">
      <alignment horizontal="center"/>
    </xf>
    <xf numFmtId="0" fontId="146" fillId="49" borderId="71" xfId="8726" applyFont="1" applyFill="1" applyBorder="1" applyAlignment="1" applyProtection="1">
      <alignment horizontal="left" wrapText="1"/>
      <protection locked="0"/>
    </xf>
    <xf numFmtId="0" fontId="146" fillId="49" borderId="74" xfId="8726" applyFont="1" applyFill="1" applyBorder="1" applyAlignment="1" applyProtection="1">
      <alignment horizontal="left" wrapText="1"/>
      <protection locked="0"/>
    </xf>
    <xf numFmtId="0" fontId="146" fillId="49" borderId="11" xfId="8726" applyFont="1" applyFill="1" applyBorder="1" applyAlignment="1" applyProtection="1">
      <alignment horizontal="left" wrapText="1"/>
      <protection locked="0"/>
    </xf>
    <xf numFmtId="0" fontId="146" fillId="49" borderId="91" xfId="8726" applyFont="1" applyFill="1" applyBorder="1" applyAlignment="1" applyProtection="1">
      <alignment horizontal="left" wrapText="1"/>
      <protection locked="0"/>
    </xf>
    <xf numFmtId="168" fontId="163" fillId="49" borderId="11" xfId="700" applyNumberFormat="1" applyFont="1" applyFill="1" applyBorder="1" applyAlignment="1" applyProtection="1">
      <alignment horizontal="left"/>
      <protection locked="0"/>
    </xf>
    <xf numFmtId="168" fontId="163" fillId="49" borderId="91" xfId="700" applyNumberFormat="1" applyFont="1" applyFill="1" applyBorder="1" applyAlignment="1" applyProtection="1">
      <alignment horizontal="left"/>
      <protection locked="0"/>
    </xf>
    <xf numFmtId="0" fontId="144" fillId="45" borderId="95" xfId="8726" applyFont="1" applyFill="1" applyBorder="1" applyAlignment="1">
      <alignment horizontal="center"/>
    </xf>
    <xf numFmtId="0" fontId="144" fillId="45" borderId="13" xfId="8726" applyFont="1" applyFill="1" applyBorder="1" applyAlignment="1">
      <alignment horizontal="center"/>
    </xf>
    <xf numFmtId="0" fontId="144" fillId="45" borderId="71" xfId="8726" applyFont="1" applyFill="1" applyBorder="1" applyAlignment="1">
      <alignment horizontal="center"/>
    </xf>
    <xf numFmtId="0" fontId="144" fillId="45" borderId="74" xfId="8726" applyFont="1" applyFill="1" applyBorder="1" applyAlignment="1">
      <alignment horizontal="center"/>
    </xf>
    <xf numFmtId="0" fontId="161" fillId="49" borderId="80" xfId="8726" applyFont="1" applyFill="1" applyBorder="1" applyAlignment="1" applyProtection="1">
      <alignment horizontal="right"/>
      <protection locked="0"/>
    </xf>
    <xf numFmtId="0" fontId="161" fillId="49" borderId="11" xfId="8726" applyFont="1" applyFill="1" applyBorder="1" applyAlignment="1" applyProtection="1">
      <alignment horizontal="right"/>
      <protection locked="0"/>
    </xf>
    <xf numFmtId="168" fontId="144" fillId="45" borderId="43" xfId="8726" applyNumberFormat="1" applyFont="1" applyFill="1" applyBorder="1" applyAlignment="1">
      <alignment horizontal="left"/>
    </xf>
    <xf numFmtId="168" fontId="144" fillId="45" borderId="96" xfId="8726" applyNumberFormat="1" applyFont="1" applyFill="1" applyBorder="1" applyAlignment="1">
      <alignment horizontal="left"/>
    </xf>
    <xf numFmtId="0" fontId="159" fillId="45" borderId="11" xfId="8726" applyFont="1" applyFill="1" applyBorder="1" applyAlignment="1">
      <alignment horizontal="right"/>
    </xf>
    <xf numFmtId="14" fontId="146" fillId="49" borderId="11" xfId="8726" applyNumberFormat="1" applyFont="1" applyFill="1" applyBorder="1" applyAlignment="1" applyProtection="1">
      <alignment horizontal="center"/>
      <protection locked="0"/>
    </xf>
    <xf numFmtId="0" fontId="146" fillId="49" borderId="11" xfId="8726" applyFont="1" applyFill="1" applyBorder="1" applyAlignment="1" applyProtection="1">
      <alignment horizontal="center"/>
      <protection locked="0"/>
    </xf>
    <xf numFmtId="1" fontId="162" fillId="49" borderId="11" xfId="8726" applyNumberFormat="1" applyFont="1" applyFill="1" applyBorder="1" applyAlignment="1" applyProtection="1">
      <alignment horizontal="center"/>
      <protection locked="0"/>
    </xf>
    <xf numFmtId="1" fontId="162" fillId="49" borderId="3" xfId="8726" applyNumberFormat="1" applyFont="1" applyFill="1" applyBorder="1" applyAlignment="1" applyProtection="1">
      <alignment horizontal="center"/>
      <protection locked="0"/>
    </xf>
    <xf numFmtId="1" fontId="162" fillId="49" borderId="4" xfId="8726" applyNumberFormat="1" applyFont="1" applyFill="1" applyBorder="1" applyAlignment="1" applyProtection="1">
      <alignment horizontal="center"/>
      <protection locked="0"/>
    </xf>
    <xf numFmtId="1" fontId="162" fillId="49" borderId="5" xfId="8726" applyNumberFormat="1" applyFont="1" applyFill="1" applyBorder="1" applyAlignment="1" applyProtection="1">
      <alignment horizontal="center"/>
      <protection locked="0"/>
    </xf>
    <xf numFmtId="1" fontId="148" fillId="44" borderId="3" xfId="8726" applyNumberFormat="1" applyFont="1" applyFill="1" applyBorder="1" applyAlignment="1">
      <alignment horizontal="center"/>
    </xf>
    <xf numFmtId="1" fontId="148" fillId="44" borderId="4" xfId="8726" applyNumberFormat="1" applyFont="1" applyFill="1" applyBorder="1" applyAlignment="1">
      <alignment horizontal="center"/>
    </xf>
    <xf numFmtId="1" fontId="148" fillId="44" borderId="5" xfId="8726" applyNumberFormat="1" applyFont="1" applyFill="1" applyBorder="1" applyAlignment="1">
      <alignment horizontal="center"/>
    </xf>
    <xf numFmtId="0" fontId="2" fillId="49" borderId="1" xfId="8726" applyFill="1" applyBorder="1" applyAlignment="1" applyProtection="1">
      <alignment horizontal="center"/>
      <protection locked="0"/>
    </xf>
    <xf numFmtId="0" fontId="2" fillId="49" borderId="2" xfId="8726" applyFill="1" applyBorder="1" applyAlignment="1" applyProtection="1">
      <alignment horizontal="center"/>
      <protection locked="0"/>
    </xf>
    <xf numFmtId="0" fontId="146" fillId="49" borderId="89" xfId="8726" applyFont="1" applyFill="1" applyBorder="1" applyAlignment="1" applyProtection="1">
      <alignment horizontal="left"/>
      <protection locked="0"/>
    </xf>
    <xf numFmtId="0" fontId="146" fillId="49" borderId="71" xfId="8726" applyFont="1" applyFill="1" applyBorder="1" applyAlignment="1" applyProtection="1">
      <alignment horizontal="left"/>
      <protection locked="0"/>
    </xf>
    <xf numFmtId="0" fontId="146" fillId="49" borderId="74" xfId="8726" applyFont="1" applyFill="1" applyBorder="1" applyAlignment="1" applyProtection="1">
      <alignment horizontal="left"/>
      <protection locked="0"/>
    </xf>
    <xf numFmtId="0" fontId="144" fillId="45" borderId="80" xfId="8726" applyFont="1" applyFill="1" applyBorder="1" applyAlignment="1">
      <alignment horizontal="center"/>
    </xf>
    <xf numFmtId="0" fontId="144" fillId="45" borderId="11" xfId="8726" applyFont="1" applyFill="1" applyBorder="1" applyAlignment="1">
      <alignment horizontal="center"/>
    </xf>
    <xf numFmtId="0" fontId="144" fillId="45" borderId="3" xfId="8726" applyFont="1" applyFill="1" applyBorder="1" applyAlignment="1">
      <alignment horizontal="center"/>
    </xf>
    <xf numFmtId="0" fontId="144" fillId="45" borderId="4" xfId="8726" applyFont="1" applyFill="1" applyBorder="1" applyAlignment="1">
      <alignment horizontal="center"/>
    </xf>
    <xf numFmtId="0" fontId="144" fillId="45" borderId="79" xfId="8726" applyFont="1" applyFill="1" applyBorder="1" applyAlignment="1">
      <alignment horizontal="center"/>
    </xf>
    <xf numFmtId="0" fontId="100" fillId="45" borderId="72" xfId="8726" applyFont="1" applyFill="1" applyBorder="1" applyAlignment="1">
      <alignment horizontal="center"/>
    </xf>
    <xf numFmtId="0" fontId="100" fillId="45" borderId="73" xfId="8726" applyFont="1" applyFill="1" applyBorder="1" applyAlignment="1">
      <alignment horizontal="center"/>
    </xf>
    <xf numFmtId="14" fontId="146" fillId="49" borderId="83" xfId="8726" applyNumberFormat="1" applyFont="1" applyFill="1" applyBorder="1" applyAlignment="1" applyProtection="1">
      <alignment horizontal="center"/>
      <protection locked="0"/>
    </xf>
    <xf numFmtId="0" fontId="146" fillId="49" borderId="73" xfId="8726" applyFont="1" applyFill="1" applyBorder="1" applyAlignment="1" applyProtection="1">
      <alignment horizontal="center"/>
      <protection locked="0"/>
    </xf>
    <xf numFmtId="0" fontId="146" fillId="49" borderId="93" xfId="8726" applyFont="1" applyFill="1" applyBorder="1" applyAlignment="1" applyProtection="1">
      <alignment horizontal="center"/>
      <protection locked="0"/>
    </xf>
    <xf numFmtId="0" fontId="163" fillId="49" borderId="80" xfId="8726" applyFont="1" applyFill="1" applyBorder="1" applyAlignment="1" applyProtection="1">
      <alignment horizontal="right"/>
      <protection locked="0"/>
    </xf>
    <xf numFmtId="0" fontId="163" fillId="49" borderId="11" xfId="8726" applyFont="1" applyFill="1" applyBorder="1" applyAlignment="1" applyProtection="1">
      <alignment horizontal="right"/>
      <protection locked="0"/>
    </xf>
    <xf numFmtId="43" fontId="144" fillId="53" borderId="3" xfId="698" applyFont="1" applyFill="1" applyBorder="1" applyAlignment="1" applyProtection="1">
      <alignment horizontal="center"/>
      <protection hidden="1"/>
    </xf>
    <xf numFmtId="43" fontId="144" fillId="53" borderId="4" xfId="698" applyFont="1" applyFill="1" applyBorder="1" applyAlignment="1" applyProtection="1">
      <alignment horizontal="center"/>
      <protection hidden="1"/>
    </xf>
    <xf numFmtId="43" fontId="144" fillId="53" borderId="79" xfId="698" applyFont="1" applyFill="1" applyBorder="1" applyAlignment="1" applyProtection="1">
      <alignment horizontal="center"/>
      <protection hidden="1"/>
    </xf>
    <xf numFmtId="0" fontId="176" fillId="54" borderId="3" xfId="698" applyNumberFormat="1" applyFont="1" applyFill="1" applyBorder="1" applyAlignment="1" applyProtection="1">
      <alignment horizontal="center"/>
      <protection locked="0"/>
    </xf>
    <xf numFmtId="0" fontId="176" fillId="54" borderId="4" xfId="698" applyNumberFormat="1" applyFont="1" applyFill="1" applyBorder="1" applyAlignment="1" applyProtection="1">
      <alignment horizontal="center"/>
      <protection locked="0"/>
    </xf>
    <xf numFmtId="0" fontId="176" fillId="54" borderId="79" xfId="698" applyNumberFormat="1" applyFont="1" applyFill="1" applyBorder="1" applyAlignment="1" applyProtection="1">
      <alignment horizontal="center"/>
      <protection locked="0"/>
    </xf>
    <xf numFmtId="44" fontId="145" fillId="0" borderId="8" xfId="700" applyFont="1" applyBorder="1" applyAlignment="1" applyProtection="1">
      <alignment horizontal="center" wrapText="1"/>
      <protection hidden="1"/>
    </xf>
    <xf numFmtId="44" fontId="145" fillId="0" borderId="0" xfId="700" applyFont="1" applyBorder="1" applyAlignment="1" applyProtection="1">
      <alignment horizontal="center" wrapText="1"/>
      <protection hidden="1"/>
    </xf>
    <xf numFmtId="44" fontId="145" fillId="0" borderId="12" xfId="700" applyFont="1" applyBorder="1" applyAlignment="1" applyProtection="1">
      <alignment horizontal="center" wrapText="1"/>
      <protection hidden="1"/>
    </xf>
    <xf numFmtId="44" fontId="145" fillId="0" borderId="9" xfId="700" applyFont="1" applyBorder="1" applyAlignment="1" applyProtection="1">
      <alignment horizontal="center" wrapText="1"/>
      <protection hidden="1"/>
    </xf>
    <xf numFmtId="44" fontId="145" fillId="0" borderId="6" xfId="700" applyFont="1" applyBorder="1" applyAlignment="1" applyProtection="1">
      <alignment horizontal="center" wrapText="1"/>
      <protection hidden="1"/>
    </xf>
    <xf numFmtId="44" fontId="145" fillId="0" borderId="10" xfId="700" applyFont="1" applyBorder="1" applyAlignment="1" applyProtection="1">
      <alignment horizontal="center" wrapText="1"/>
      <protection hidden="1"/>
    </xf>
    <xf numFmtId="43" fontId="145" fillId="53" borderId="8" xfId="698" applyFont="1" applyFill="1" applyBorder="1" applyAlignment="1" applyProtection="1">
      <alignment horizontal="center" wrapText="1"/>
      <protection hidden="1"/>
    </xf>
    <xf numFmtId="43" fontId="145" fillId="53" borderId="0" xfId="698" applyFont="1" applyFill="1" applyBorder="1" applyAlignment="1" applyProtection="1">
      <alignment horizontal="center" wrapText="1"/>
      <protection hidden="1"/>
    </xf>
    <xf numFmtId="43" fontId="145" fillId="53" borderId="41" xfId="698" applyFont="1" applyFill="1" applyBorder="1" applyAlignment="1" applyProtection="1">
      <alignment horizontal="center" wrapText="1"/>
      <protection hidden="1"/>
    </xf>
    <xf numFmtId="43" fontId="145" fillId="53" borderId="9" xfId="698" applyFont="1" applyFill="1" applyBorder="1" applyAlignment="1" applyProtection="1">
      <alignment horizontal="center" wrapText="1"/>
      <protection hidden="1"/>
    </xf>
    <xf numFmtId="43" fontId="145" fillId="53" borderId="6" xfId="698" applyFont="1" applyFill="1" applyBorder="1" applyAlignment="1" applyProtection="1">
      <alignment horizontal="center" wrapText="1"/>
      <protection hidden="1"/>
    </xf>
    <xf numFmtId="43" fontId="145" fillId="53" borderId="103" xfId="698" applyFont="1" applyFill="1" applyBorder="1" applyAlignment="1" applyProtection="1">
      <alignment horizontal="center" wrapText="1"/>
      <protection hidden="1"/>
    </xf>
    <xf numFmtId="0" fontId="146" fillId="53" borderId="80" xfId="698" applyNumberFormat="1" applyFont="1" applyFill="1" applyBorder="1" applyAlignment="1" applyProtection="1">
      <alignment horizontal="center"/>
      <protection hidden="1"/>
    </xf>
    <xf numFmtId="0" fontId="146" fillId="53" borderId="11" xfId="698" applyNumberFormat="1" applyFont="1" applyFill="1" applyBorder="1" applyAlignment="1" applyProtection="1">
      <alignment horizontal="center"/>
      <protection hidden="1"/>
    </xf>
    <xf numFmtId="0" fontId="146" fillId="49" borderId="11" xfId="0" applyFont="1" applyFill="1" applyBorder="1" applyAlignment="1" applyProtection="1">
      <alignment horizontal="center"/>
      <protection locked="0"/>
    </xf>
    <xf numFmtId="14" fontId="176" fillId="49" borderId="11" xfId="700" applyNumberFormat="1" applyFont="1" applyFill="1" applyBorder="1" applyAlignment="1" applyProtection="1">
      <alignment horizontal="center"/>
      <protection locked="0"/>
    </xf>
    <xf numFmtId="44" fontId="176" fillId="49" borderId="11" xfId="700" applyFont="1" applyFill="1" applyBorder="1" applyAlignment="1" applyProtection="1">
      <alignment horizontal="center"/>
      <protection locked="0"/>
    </xf>
    <xf numFmtId="164" fontId="146" fillId="49" borderId="11" xfId="700" applyNumberFormat="1" applyFont="1" applyFill="1" applyBorder="1" applyAlignment="1" applyProtection="1">
      <alignment horizontal="center"/>
      <protection locked="0"/>
    </xf>
    <xf numFmtId="9" fontId="146" fillId="49" borderId="11" xfId="1022" applyFont="1" applyFill="1" applyBorder="1" applyAlignment="1" applyProtection="1">
      <alignment horizontal="center"/>
      <protection locked="0"/>
    </xf>
    <xf numFmtId="0" fontId="100" fillId="44" borderId="0" xfId="8726" applyFont="1" applyFill="1" applyAlignment="1">
      <alignment horizontal="left"/>
    </xf>
    <xf numFmtId="0" fontId="148" fillId="44" borderId="0" xfId="8726" applyFont="1" applyFill="1" applyAlignment="1">
      <alignment horizontal="left" vertical="top"/>
    </xf>
    <xf numFmtId="0" fontId="100" fillId="44" borderId="0" xfId="4503" applyFont="1" applyFill="1" applyBorder="1" applyAlignment="1">
      <alignment horizontal="left" vertical="top"/>
    </xf>
    <xf numFmtId="0" fontId="172" fillId="48" borderId="65" xfId="8726" applyFont="1" applyFill="1" applyBorder="1" applyAlignment="1">
      <alignment horizontal="center"/>
    </xf>
    <xf numFmtId="0" fontId="172" fillId="48" borderId="29" xfId="8726" applyFont="1" applyFill="1" applyBorder="1" applyAlignment="1">
      <alignment horizontal="center"/>
    </xf>
    <xf numFmtId="0" fontId="172" fillId="48" borderId="31" xfId="8726" applyFont="1" applyFill="1" applyBorder="1" applyAlignment="1">
      <alignment horizontal="center"/>
    </xf>
    <xf numFmtId="0" fontId="2" fillId="48" borderId="66" xfId="8726" applyFill="1" applyBorder="1" applyAlignment="1">
      <alignment horizontal="center"/>
    </xf>
    <xf numFmtId="0" fontId="2" fillId="48" borderId="0" xfId="8726" applyFill="1" applyAlignment="1">
      <alignment horizontal="center"/>
    </xf>
    <xf numFmtId="0" fontId="2" fillId="48" borderId="41" xfId="8726" applyFill="1" applyBorder="1" applyAlignment="1">
      <alignment horizontal="center"/>
    </xf>
    <xf numFmtId="0" fontId="144" fillId="48" borderId="66" xfId="8726" applyFont="1" applyFill="1" applyBorder="1" applyAlignment="1">
      <alignment horizontal="center"/>
    </xf>
    <xf numFmtId="0" fontId="144" fillId="48" borderId="0" xfId="8726" applyFont="1" applyFill="1" applyAlignment="1">
      <alignment horizontal="center"/>
    </xf>
    <xf numFmtId="0" fontId="144" fillId="48" borderId="41" xfId="8726" applyFont="1" applyFill="1" applyBorder="1" applyAlignment="1">
      <alignment horizontal="center"/>
    </xf>
    <xf numFmtId="0" fontId="100" fillId="48" borderId="66" xfId="8726" applyFont="1" applyFill="1" applyBorder="1" applyAlignment="1">
      <alignment horizontal="center"/>
    </xf>
    <xf numFmtId="0" fontId="100" fillId="48" borderId="0" xfId="8726" applyFont="1" applyFill="1" applyAlignment="1">
      <alignment horizontal="center"/>
    </xf>
    <xf numFmtId="0" fontId="100" fillId="48" borderId="41" xfId="8726" applyFont="1" applyFill="1" applyBorder="1" applyAlignment="1">
      <alignment horizontal="center"/>
    </xf>
    <xf numFmtId="14" fontId="2" fillId="49" borderId="67" xfId="8726" applyNumberFormat="1" applyFill="1" applyBorder="1" applyAlignment="1" applyProtection="1">
      <alignment horizontal="center"/>
      <protection locked="0"/>
    </xf>
    <xf numFmtId="14" fontId="2" fillId="49" borderId="68" xfId="8726" applyNumberFormat="1" applyFill="1" applyBorder="1" applyAlignment="1" applyProtection="1">
      <alignment horizontal="center"/>
      <protection locked="0"/>
    </xf>
    <xf numFmtId="14" fontId="2" fillId="49" borderId="69" xfId="8726" applyNumberFormat="1" applyFill="1" applyBorder="1" applyAlignment="1" applyProtection="1">
      <alignment horizontal="center"/>
      <protection locked="0"/>
    </xf>
    <xf numFmtId="0" fontId="2" fillId="49" borderId="67" xfId="8726" applyFill="1" applyBorder="1" applyAlignment="1" applyProtection="1">
      <alignment horizontal="left"/>
      <protection locked="0"/>
    </xf>
    <xf numFmtId="0" fontId="2" fillId="49" borderId="68" xfId="8726" applyFill="1" applyBorder="1" applyAlignment="1" applyProtection="1">
      <alignment horizontal="left"/>
      <protection locked="0"/>
    </xf>
    <xf numFmtId="0" fontId="2" fillId="49" borderId="69" xfId="8726" applyFill="1" applyBorder="1" applyAlignment="1" applyProtection="1">
      <alignment horizontal="left"/>
      <protection locked="0"/>
    </xf>
    <xf numFmtId="0" fontId="2" fillId="49" borderId="67" xfId="8726" applyFill="1" applyBorder="1" applyAlignment="1" applyProtection="1">
      <alignment horizontal="center"/>
      <protection locked="0"/>
    </xf>
    <xf numFmtId="0" fontId="2" fillId="49" borderId="68" xfId="8726" applyFill="1" applyBorder="1" applyAlignment="1" applyProtection="1">
      <alignment horizontal="center"/>
      <protection locked="0"/>
    </xf>
    <xf numFmtId="0" fontId="2" fillId="49" borderId="69" xfId="8726" applyFill="1" applyBorder="1" applyAlignment="1" applyProtection="1">
      <alignment horizontal="center"/>
      <protection locked="0"/>
    </xf>
    <xf numFmtId="0" fontId="100" fillId="48" borderId="42" xfId="8726" applyFont="1" applyFill="1" applyBorder="1" applyAlignment="1">
      <alignment horizontal="center"/>
    </xf>
    <xf numFmtId="0" fontId="144" fillId="48" borderId="0" xfId="8726" applyFont="1" applyFill="1" applyAlignment="1">
      <alignment horizontal="left" vertical="top" wrapText="1"/>
    </xf>
    <xf numFmtId="0" fontId="100" fillId="48" borderId="0" xfId="8726" applyFont="1" applyFill="1" applyAlignment="1">
      <alignment horizontal="left"/>
    </xf>
    <xf numFmtId="43" fontId="144" fillId="45" borderId="67" xfId="698" applyFont="1" applyFill="1" applyBorder="1" applyAlignment="1" applyProtection="1">
      <alignment horizontal="center"/>
      <protection hidden="1"/>
    </xf>
    <xf numFmtId="43" fontId="144" fillId="45" borderId="68" xfId="698" applyFont="1" applyFill="1" applyBorder="1" applyAlignment="1" applyProtection="1">
      <alignment horizontal="center"/>
      <protection hidden="1"/>
    </xf>
    <xf numFmtId="43" fontId="144" fillId="45" borderId="69" xfId="698" applyFont="1" applyFill="1" applyBorder="1" applyAlignment="1" applyProtection="1">
      <alignment horizontal="center"/>
      <protection hidden="1"/>
    </xf>
    <xf numFmtId="43" fontId="145" fillId="53" borderId="66" xfId="698" applyFont="1" applyFill="1" applyBorder="1" applyAlignment="1" applyProtection="1">
      <alignment horizontal="center" wrapText="1"/>
      <protection hidden="1"/>
    </xf>
    <xf numFmtId="43" fontId="145" fillId="53" borderId="12" xfId="698" applyFont="1" applyFill="1" applyBorder="1" applyAlignment="1" applyProtection="1">
      <alignment horizontal="center" wrapText="1"/>
      <protection hidden="1"/>
    </xf>
    <xf numFmtId="43" fontId="145" fillId="53" borderId="102" xfId="698" applyFont="1" applyFill="1" applyBorder="1" applyAlignment="1" applyProtection="1">
      <alignment horizontal="center" wrapText="1"/>
      <protection hidden="1"/>
    </xf>
    <xf numFmtId="43" fontId="145" fillId="53" borderId="10" xfId="698" applyFont="1" applyFill="1" applyBorder="1" applyAlignment="1" applyProtection="1">
      <alignment horizontal="center" wrapText="1"/>
      <protection hidden="1"/>
    </xf>
    <xf numFmtId="14" fontId="145" fillId="0" borderId="8" xfId="700" applyNumberFormat="1" applyFont="1" applyFill="1" applyBorder="1" applyAlignment="1" applyProtection="1">
      <alignment horizontal="center" wrapText="1"/>
      <protection hidden="1"/>
    </xf>
    <xf numFmtId="14" fontId="145" fillId="0" borderId="0" xfId="700" applyNumberFormat="1" applyFont="1" applyFill="1" applyBorder="1" applyAlignment="1" applyProtection="1">
      <alignment horizontal="center" wrapText="1"/>
      <protection hidden="1"/>
    </xf>
    <xf numFmtId="14" fontId="145" fillId="0" borderId="12" xfId="700" applyNumberFormat="1" applyFont="1" applyFill="1" applyBorder="1" applyAlignment="1" applyProtection="1">
      <alignment horizontal="center" wrapText="1"/>
      <protection hidden="1"/>
    </xf>
    <xf numFmtId="14" fontId="145" fillId="0" borderId="9" xfId="700" applyNumberFormat="1" applyFont="1" applyFill="1" applyBorder="1" applyAlignment="1" applyProtection="1">
      <alignment horizontal="center" wrapText="1"/>
      <protection hidden="1"/>
    </xf>
    <xf numFmtId="14" fontId="145" fillId="0" borderId="6" xfId="700" applyNumberFormat="1" applyFont="1" applyFill="1" applyBorder="1" applyAlignment="1" applyProtection="1">
      <alignment horizontal="center" wrapText="1"/>
      <protection hidden="1"/>
    </xf>
    <xf numFmtId="14" fontId="145" fillId="0" borderId="10" xfId="700" applyNumberFormat="1" applyFont="1" applyFill="1" applyBorder="1" applyAlignment="1" applyProtection="1">
      <alignment horizontal="center" wrapText="1"/>
      <protection hidden="1"/>
    </xf>
    <xf numFmtId="0" fontId="100" fillId="0" borderId="67" xfId="8726" applyFont="1" applyBorder="1" applyAlignment="1">
      <alignment horizontal="left"/>
    </xf>
    <xf numFmtId="0" fontId="100" fillId="0" borderId="68" xfId="8726" applyFont="1" applyBorder="1" applyAlignment="1">
      <alignment horizontal="left"/>
    </xf>
    <xf numFmtId="0" fontId="147" fillId="45" borderId="72" xfId="8726" applyFont="1" applyFill="1" applyBorder="1" applyAlignment="1">
      <alignment horizontal="right"/>
    </xf>
    <xf numFmtId="0" fontId="147" fillId="45" borderId="73" xfId="8726" applyFont="1" applyFill="1" applyBorder="1" applyAlignment="1">
      <alignment horizontal="right"/>
    </xf>
    <xf numFmtId="0" fontId="148" fillId="44" borderId="73" xfId="700" applyNumberFormat="1" applyFont="1" applyFill="1" applyBorder="1" applyAlignment="1">
      <alignment horizontal="left"/>
    </xf>
    <xf numFmtId="168" fontId="148" fillId="44" borderId="73" xfId="700" applyNumberFormat="1" applyFont="1" applyFill="1" applyBorder="1" applyAlignment="1">
      <alignment horizontal="left"/>
    </xf>
    <xf numFmtId="168" fontId="148" fillId="44" borderId="93" xfId="700" applyNumberFormat="1" applyFont="1" applyFill="1" applyBorder="1" applyAlignment="1">
      <alignment horizontal="left"/>
    </xf>
    <xf numFmtId="0" fontId="144" fillId="48" borderId="0" xfId="8726" applyFont="1" applyFill="1" applyAlignment="1">
      <alignment horizontal="right"/>
    </xf>
    <xf numFmtId="182" fontId="2" fillId="49" borderId="11" xfId="700" applyNumberFormat="1" applyFont="1" applyFill="1" applyBorder="1" applyAlignment="1" applyProtection="1">
      <alignment horizontal="center"/>
      <protection locked="0"/>
    </xf>
    <xf numFmtId="10" fontId="161" fillId="49" borderId="11" xfId="1022" applyNumberFormat="1" applyFont="1" applyFill="1" applyBorder="1" applyAlignment="1" applyProtection="1">
      <alignment horizontal="center"/>
      <protection locked="0"/>
    </xf>
    <xf numFmtId="44" fontId="2" fillId="49" borderId="97" xfId="700" applyFont="1" applyFill="1" applyBorder="1" applyAlignment="1" applyProtection="1">
      <alignment horizontal="center"/>
      <protection locked="0"/>
    </xf>
    <xf numFmtId="168" fontId="145" fillId="48" borderId="0" xfId="700" applyNumberFormat="1" applyFont="1" applyFill="1" applyBorder="1" applyAlignment="1" applyProtection="1">
      <alignment horizontal="left"/>
      <protection locked="0"/>
    </xf>
    <xf numFmtId="0" fontId="148" fillId="45" borderId="67" xfId="0" applyFont="1" applyFill="1" applyBorder="1" applyAlignment="1" applyProtection="1">
      <alignment horizontal="center" wrapText="1"/>
      <protection hidden="1"/>
    </xf>
    <xf numFmtId="0" fontId="148" fillId="45" borderId="68" xfId="0" applyFont="1" applyFill="1" applyBorder="1" applyAlignment="1" applyProtection="1">
      <alignment horizontal="center" wrapText="1"/>
      <protection hidden="1"/>
    </xf>
    <xf numFmtId="0" fontId="148" fillId="45" borderId="69" xfId="0" applyFont="1" applyFill="1" applyBorder="1" applyAlignment="1" applyProtection="1">
      <alignment horizontal="center" wrapText="1"/>
      <protection hidden="1"/>
    </xf>
    <xf numFmtId="44" fontId="2" fillId="44" borderId="11" xfId="700" applyFont="1" applyFill="1" applyBorder="1" applyAlignment="1" applyProtection="1">
      <alignment horizontal="center"/>
      <protection hidden="1"/>
    </xf>
    <xf numFmtId="0" fontId="2" fillId="48" borderId="3" xfId="8726" applyFill="1" applyBorder="1" applyAlignment="1">
      <alignment horizontal="center"/>
    </xf>
    <xf numFmtId="0" fontId="2" fillId="48" borderId="4" xfId="8726" applyFill="1" applyBorder="1" applyAlignment="1">
      <alignment horizontal="center"/>
    </xf>
    <xf numFmtId="0" fontId="2" fillId="48" borderId="5" xfId="8726" applyFill="1" applyBorder="1" applyAlignment="1">
      <alignment horizontal="center"/>
    </xf>
    <xf numFmtId="0" fontId="2" fillId="48" borderId="1" xfId="8726" applyFill="1" applyBorder="1" applyAlignment="1">
      <alignment horizontal="center"/>
    </xf>
    <xf numFmtId="0" fontId="2" fillId="48" borderId="2" xfId="8726" applyFill="1" applyBorder="1" applyAlignment="1">
      <alignment horizontal="center"/>
    </xf>
    <xf numFmtId="0" fontId="2" fillId="48" borderId="7" xfId="8726" applyFill="1" applyBorder="1" applyAlignment="1">
      <alignment horizontal="center"/>
    </xf>
    <xf numFmtId="0" fontId="163" fillId="45" borderId="70" xfId="8726" applyFont="1" applyFill="1" applyBorder="1" applyAlignment="1">
      <alignment horizontal="right"/>
    </xf>
    <xf numFmtId="0" fontId="163" fillId="45" borderId="71" xfId="8726" applyFont="1" applyFill="1" applyBorder="1" applyAlignment="1">
      <alignment horizontal="right"/>
    </xf>
    <xf numFmtId="168" fontId="146" fillId="44" borderId="71" xfId="700" applyNumberFormat="1" applyFont="1" applyFill="1" applyBorder="1" applyAlignment="1">
      <alignment horizontal="left"/>
    </xf>
    <xf numFmtId="168" fontId="146" fillId="44" borderId="74" xfId="700" applyNumberFormat="1" applyFont="1" applyFill="1" applyBorder="1" applyAlignment="1">
      <alignment horizontal="left"/>
    </xf>
    <xf numFmtId="0" fontId="161" fillId="49" borderId="81" xfId="8726" applyFont="1" applyFill="1" applyBorder="1" applyAlignment="1" applyProtection="1">
      <alignment horizontal="center"/>
      <protection locked="0"/>
    </xf>
    <xf numFmtId="0" fontId="161" fillId="49" borderId="82" xfId="8726" applyFont="1" applyFill="1" applyBorder="1" applyAlignment="1" applyProtection="1">
      <alignment horizontal="center"/>
      <protection locked="0"/>
    </xf>
    <xf numFmtId="0" fontId="163" fillId="49" borderId="73" xfId="8726" applyFont="1" applyFill="1" applyBorder="1" applyAlignment="1" applyProtection="1">
      <alignment horizontal="left"/>
      <protection locked="0"/>
    </xf>
    <xf numFmtId="0" fontId="163" fillId="49" borderId="93" xfId="8726" applyFont="1" applyFill="1" applyBorder="1" applyAlignment="1" applyProtection="1">
      <alignment horizontal="left"/>
      <protection locked="0"/>
    </xf>
    <xf numFmtId="168" fontId="161" fillId="49" borderId="82" xfId="700" applyNumberFormat="1" applyFont="1" applyFill="1" applyBorder="1" applyAlignment="1" applyProtection="1">
      <alignment horizontal="left"/>
      <protection locked="0"/>
    </xf>
    <xf numFmtId="168" fontId="161" fillId="49" borderId="85" xfId="700" applyNumberFormat="1" applyFont="1" applyFill="1" applyBorder="1" applyAlignment="1" applyProtection="1">
      <alignment horizontal="left"/>
      <protection locked="0"/>
    </xf>
    <xf numFmtId="0" fontId="161" fillId="49" borderId="81" xfId="8726" applyFont="1" applyFill="1" applyBorder="1" applyAlignment="1" applyProtection="1">
      <alignment horizontal="left"/>
      <protection locked="0"/>
    </xf>
    <xf numFmtId="0" fontId="161" fillId="49" borderId="82" xfId="8726" applyFont="1" applyFill="1" applyBorder="1" applyAlignment="1" applyProtection="1">
      <alignment horizontal="left"/>
      <protection locked="0"/>
    </xf>
    <xf numFmtId="0" fontId="161" fillId="49" borderId="85" xfId="8726" applyFont="1" applyFill="1" applyBorder="1" applyAlignment="1" applyProtection="1">
      <alignment horizontal="left"/>
      <protection locked="0"/>
    </xf>
    <xf numFmtId="0" fontId="171" fillId="48" borderId="0" xfId="8726" applyFont="1" applyFill="1" applyAlignment="1">
      <alignment horizontal="left" wrapText="1"/>
    </xf>
    <xf numFmtId="0" fontId="171" fillId="48" borderId="41" xfId="8726" applyFont="1" applyFill="1" applyBorder="1" applyAlignment="1">
      <alignment horizontal="left" wrapText="1"/>
    </xf>
    <xf numFmtId="0" fontId="161" fillId="49" borderId="80"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0" fontId="163" fillId="49" borderId="11" xfId="8726" applyFont="1" applyFill="1" applyBorder="1" applyAlignment="1" applyProtection="1">
      <alignment horizontal="left"/>
      <protection locked="0"/>
    </xf>
    <xf numFmtId="168" fontId="161" fillId="49" borderId="11" xfId="700" applyNumberFormat="1" applyFont="1" applyFill="1" applyBorder="1" applyAlignment="1" applyProtection="1">
      <alignment horizontal="left"/>
      <protection locked="0"/>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3" fillId="49" borderId="80" xfId="8726" applyFont="1" applyFill="1" applyBorder="1" applyAlignment="1" applyProtection="1">
      <alignment horizontal="center"/>
      <protection locked="0"/>
    </xf>
    <xf numFmtId="0" fontId="163" fillId="49" borderId="11" xfId="8726" applyFont="1" applyFill="1" applyBorder="1" applyAlignment="1" applyProtection="1">
      <alignment horizontal="center"/>
      <protection locked="0"/>
    </xf>
    <xf numFmtId="44" fontId="2" fillId="49" borderId="11" xfId="700" applyFont="1" applyFill="1" applyBorder="1" applyAlignment="1" applyProtection="1">
      <alignment horizontal="center"/>
      <protection locked="0"/>
    </xf>
    <xf numFmtId="0" fontId="161" fillId="45" borderId="80" xfId="8726" applyFont="1" applyFill="1" applyBorder="1" applyAlignment="1">
      <alignment horizontal="right"/>
    </xf>
    <xf numFmtId="0" fontId="161" fillId="45" borderId="11" xfId="8726" applyFont="1" applyFill="1" applyBorder="1" applyAlignment="1">
      <alignment horizontal="right"/>
    </xf>
    <xf numFmtId="168" fontId="161" fillId="44" borderId="11" xfId="700" applyNumberFormat="1" applyFont="1" applyFill="1" applyBorder="1" applyAlignment="1">
      <alignment horizontal="left"/>
    </xf>
    <xf numFmtId="43" fontId="144" fillId="55" borderId="104" xfId="698" applyFont="1" applyFill="1" applyBorder="1" applyAlignment="1" applyProtection="1">
      <alignment horizontal="center"/>
      <protection hidden="1"/>
    </xf>
    <xf numFmtId="43" fontId="144" fillId="55" borderId="97" xfId="698" applyFont="1" applyFill="1" applyBorder="1" applyAlignment="1" applyProtection="1">
      <alignment horizontal="center"/>
      <protection hidden="1"/>
    </xf>
    <xf numFmtId="43" fontId="144" fillId="55" borderId="98" xfId="698" applyFont="1" applyFill="1" applyBorder="1" applyAlignment="1" applyProtection="1">
      <alignment horizontal="center"/>
      <protection hidden="1"/>
    </xf>
    <xf numFmtId="43" fontId="146" fillId="53" borderId="13" xfId="698" applyFont="1" applyFill="1" applyBorder="1" applyAlignment="1" applyProtection="1">
      <alignment horizontal="left"/>
      <protection hidden="1"/>
    </xf>
    <xf numFmtId="44" fontId="2" fillId="49" borderId="13" xfId="700" applyFont="1" applyFill="1" applyBorder="1" applyAlignment="1" applyProtection="1">
      <alignment horizontal="center"/>
      <protection locked="0"/>
    </xf>
    <xf numFmtId="0" fontId="161" fillId="48" borderId="9" xfId="8726" applyFont="1" applyFill="1" applyBorder="1" applyAlignment="1">
      <alignment horizontal="center"/>
    </xf>
    <xf numFmtId="0" fontId="161" fillId="48" borderId="6" xfId="8726" applyFont="1" applyFill="1" applyBorder="1" applyAlignment="1">
      <alignment horizontal="center"/>
    </xf>
    <xf numFmtId="0" fontId="161" fillId="48" borderId="10" xfId="8726" applyFont="1" applyFill="1" applyBorder="1" applyAlignment="1">
      <alignment horizontal="center"/>
    </xf>
    <xf numFmtId="43" fontId="146" fillId="53" borderId="11" xfId="698" applyFont="1" applyFill="1" applyBorder="1" applyAlignment="1" applyProtection="1">
      <alignment horizontal="left"/>
      <protection hidden="1"/>
    </xf>
    <xf numFmtId="14" fontId="161" fillId="49" borderId="11" xfId="8726" applyNumberFormat="1" applyFont="1" applyFill="1" applyBorder="1" applyAlignment="1" applyProtection="1">
      <alignment horizontal="center"/>
      <protection locked="0"/>
    </xf>
    <xf numFmtId="14" fontId="161" fillId="49" borderId="91" xfId="8726" applyNumberFormat="1" applyFont="1" applyFill="1" applyBorder="1" applyAlignment="1" applyProtection="1">
      <alignment horizontal="center"/>
      <protection locked="0"/>
    </xf>
    <xf numFmtId="168" fontId="163" fillId="44" borderId="11" xfId="700" applyNumberFormat="1" applyFont="1" applyFill="1" applyBorder="1" applyAlignment="1">
      <alignment horizontal="left"/>
    </xf>
    <xf numFmtId="0" fontId="147" fillId="47" borderId="11" xfId="8726" applyFont="1" applyFill="1" applyBorder="1" applyAlignment="1">
      <alignment horizontal="center"/>
    </xf>
    <xf numFmtId="0" fontId="147" fillId="47" borderId="91" xfId="8726" applyFont="1" applyFill="1" applyBorder="1" applyAlignment="1">
      <alignment horizontal="center"/>
    </xf>
    <xf numFmtId="0" fontId="163" fillId="45" borderId="80" xfId="8726" applyFont="1" applyFill="1" applyBorder="1" applyAlignment="1">
      <alignment horizontal="right"/>
    </xf>
    <xf numFmtId="0" fontId="163" fillId="45" borderId="11" xfId="8726" applyFont="1" applyFill="1" applyBorder="1" applyAlignment="1">
      <alignment horizontal="right"/>
    </xf>
    <xf numFmtId="0" fontId="171" fillId="45" borderId="72" xfId="8726" applyFont="1" applyFill="1" applyBorder="1" applyAlignment="1">
      <alignment horizontal="center"/>
    </xf>
    <xf numFmtId="0" fontId="171" fillId="45" borderId="73" xfId="8726" applyFont="1" applyFill="1" applyBorder="1" applyAlignment="1">
      <alignment horizontal="center"/>
    </xf>
    <xf numFmtId="0" fontId="157" fillId="49" borderId="73" xfId="8726" applyFont="1" applyFill="1" applyBorder="1" applyAlignment="1" applyProtection="1">
      <alignment horizontal="left"/>
      <protection locked="0"/>
    </xf>
    <xf numFmtId="0" fontId="163" fillId="49" borderId="73" xfId="8726" applyFont="1" applyFill="1" applyBorder="1" applyAlignment="1" applyProtection="1">
      <alignment horizontal="center"/>
      <protection locked="0"/>
    </xf>
    <xf numFmtId="14" fontId="163" fillId="49" borderId="73" xfId="8726" applyNumberFormat="1" applyFont="1" applyFill="1" applyBorder="1" applyAlignment="1" applyProtection="1">
      <alignment horizontal="center"/>
      <protection locked="0"/>
    </xf>
    <xf numFmtId="168" fontId="163" fillId="49" borderId="73" xfId="8727" applyNumberFormat="1" applyFont="1" applyFill="1" applyBorder="1" applyAlignment="1" applyProtection="1">
      <alignment horizontal="center"/>
      <protection locked="0"/>
    </xf>
    <xf numFmtId="168" fontId="163" fillId="49" borderId="93" xfId="8727" applyNumberFormat="1" applyFont="1" applyFill="1" applyBorder="1" applyAlignment="1" applyProtection="1">
      <alignment horizontal="center"/>
      <protection locked="0"/>
    </xf>
    <xf numFmtId="0" fontId="161" fillId="49" borderId="72" xfId="8726" applyFont="1" applyFill="1" applyBorder="1" applyAlignment="1" applyProtection="1">
      <alignment horizontal="center"/>
      <protection locked="0"/>
    </xf>
    <xf numFmtId="0" fontId="161" fillId="49" borderId="73" xfId="8726" applyFont="1" applyFill="1" applyBorder="1" applyAlignment="1" applyProtection="1">
      <alignment horizontal="center"/>
      <protection locked="0"/>
    </xf>
    <xf numFmtId="14" fontId="161" fillId="49" borderId="73" xfId="8726" applyNumberFormat="1" applyFont="1" applyFill="1" applyBorder="1" applyAlignment="1" applyProtection="1">
      <alignment horizontal="center"/>
      <protection locked="0"/>
    </xf>
    <xf numFmtId="14" fontId="161" fillId="49" borderId="93" xfId="8726" applyNumberFormat="1" applyFont="1" applyFill="1" applyBorder="1" applyAlignment="1" applyProtection="1">
      <alignment horizontal="center"/>
      <protection locked="0"/>
    </xf>
    <xf numFmtId="0" fontId="100" fillId="45" borderId="65" xfId="8726" applyFont="1" applyFill="1" applyBorder="1" applyAlignment="1">
      <alignment horizontal="left" wrapText="1"/>
    </xf>
    <xf numFmtId="0" fontId="100" fillId="45" borderId="29" xfId="8726" applyFont="1" applyFill="1" applyBorder="1" applyAlignment="1">
      <alignment horizontal="left" wrapText="1"/>
    </xf>
    <xf numFmtId="0" fontId="100" fillId="45" borderId="31" xfId="8726" applyFont="1" applyFill="1" applyBorder="1" applyAlignment="1">
      <alignment horizontal="left" wrapText="1"/>
    </xf>
    <xf numFmtId="0" fontId="100" fillId="45" borderId="86" xfId="8726" applyFont="1" applyFill="1" applyBorder="1" applyAlignment="1">
      <alignment horizontal="left" wrapText="1"/>
    </xf>
    <xf numFmtId="0" fontId="100" fillId="45" borderId="42" xfId="8726" applyFont="1" applyFill="1" applyBorder="1" applyAlignment="1">
      <alignment horizontal="left" wrapText="1"/>
    </xf>
    <xf numFmtId="0" fontId="100" fillId="45" borderId="44" xfId="8726" applyFont="1" applyFill="1" applyBorder="1" applyAlignment="1">
      <alignment horizontal="left" wrapText="1"/>
    </xf>
    <xf numFmtId="0" fontId="144" fillId="45" borderId="70" xfId="8726" applyFont="1" applyFill="1" applyBorder="1" applyAlignment="1">
      <alignment horizontal="left"/>
    </xf>
    <xf numFmtId="0" fontId="144" fillId="45" borderId="71" xfId="8726" applyFont="1" applyFill="1" applyBorder="1" applyAlignment="1">
      <alignment horizontal="left"/>
    </xf>
    <xf numFmtId="0" fontId="144" fillId="45" borderId="74" xfId="8726" applyFont="1" applyFill="1" applyBorder="1" applyAlignment="1">
      <alignment horizontal="left"/>
    </xf>
    <xf numFmtId="0" fontId="100" fillId="45" borderId="80" xfId="8726" applyFont="1" applyFill="1" applyBorder="1" applyAlignment="1">
      <alignment horizontal="center"/>
    </xf>
    <xf numFmtId="0" fontId="100" fillId="45" borderId="11" xfId="8726" applyFont="1" applyFill="1" applyBorder="1" applyAlignment="1">
      <alignment horizontal="center"/>
    </xf>
    <xf numFmtId="0" fontId="100" fillId="45" borderId="91" xfId="8726" applyFont="1" applyFill="1" applyBorder="1" applyAlignment="1">
      <alignment horizontal="center"/>
    </xf>
    <xf numFmtId="0" fontId="161" fillId="49" borderId="80" xfId="8726" applyFont="1" applyFill="1" applyBorder="1" applyAlignment="1" applyProtection="1">
      <alignment horizontal="left" vertical="top"/>
      <protection locked="0"/>
    </xf>
    <xf numFmtId="0" fontId="161" fillId="49" borderId="11" xfId="8726" applyFont="1" applyFill="1" applyBorder="1" applyAlignment="1" applyProtection="1">
      <alignment horizontal="left" vertical="top"/>
      <protection locked="0"/>
    </xf>
    <xf numFmtId="0" fontId="161" fillId="49" borderId="91" xfId="8726" applyFont="1" applyFill="1" applyBorder="1" applyAlignment="1" applyProtection="1">
      <alignment horizontal="left" vertical="top"/>
      <protection locked="0"/>
    </xf>
    <xf numFmtId="0" fontId="161" fillId="49" borderId="72" xfId="8726" applyFont="1" applyFill="1" applyBorder="1" applyAlignment="1" applyProtection="1">
      <alignment horizontal="left" vertical="top"/>
      <protection locked="0"/>
    </xf>
    <xf numFmtId="0" fontId="161" fillId="49" borderId="73" xfId="8726" applyFont="1" applyFill="1" applyBorder="1" applyAlignment="1" applyProtection="1">
      <alignment horizontal="left" vertical="top"/>
      <protection locked="0"/>
    </xf>
    <xf numFmtId="0" fontId="161" fillId="49" borderId="93" xfId="8726" applyFont="1" applyFill="1" applyBorder="1" applyAlignment="1" applyProtection="1">
      <alignment horizontal="left" vertical="top"/>
      <protection locked="0"/>
    </xf>
    <xf numFmtId="0" fontId="171" fillId="45" borderId="80" xfId="8726" applyFont="1" applyFill="1" applyBorder="1" applyAlignment="1">
      <alignment horizontal="center"/>
    </xf>
    <xf numFmtId="0" fontId="171" fillId="45" borderId="11" xfId="8726" applyFont="1" applyFill="1" applyBorder="1" applyAlignment="1">
      <alignment horizontal="center"/>
    </xf>
    <xf numFmtId="0" fontId="157" fillId="49" borderId="11" xfId="8726" applyFont="1" applyFill="1" applyBorder="1" applyAlignment="1" applyProtection="1">
      <alignment horizontal="left"/>
      <protection locked="0"/>
    </xf>
    <xf numFmtId="14" fontId="163" fillId="49" borderId="11" xfId="8726" applyNumberFormat="1" applyFont="1" applyFill="1" applyBorder="1" applyAlignment="1" applyProtection="1">
      <alignment horizontal="center"/>
      <protection locked="0"/>
    </xf>
    <xf numFmtId="168" fontId="163" fillId="49" borderId="11" xfId="8727" applyNumberFormat="1" applyFont="1" applyFill="1" applyBorder="1" applyAlignment="1" applyProtection="1">
      <alignment horizontal="center"/>
      <protection locked="0"/>
    </xf>
    <xf numFmtId="168" fontId="163" fillId="49" borderId="91" xfId="8727" applyNumberFormat="1" applyFont="1" applyFill="1" applyBorder="1" applyAlignment="1" applyProtection="1">
      <alignment horizontal="center"/>
      <protection locked="0"/>
    </xf>
    <xf numFmtId="0" fontId="148" fillId="45" borderId="11" xfId="8726" applyFont="1" applyFill="1" applyBorder="1" applyAlignment="1">
      <alignment horizontal="center" wrapText="1"/>
    </xf>
    <xf numFmtId="0" fontId="148" fillId="45" borderId="91" xfId="8726" applyFont="1" applyFill="1" applyBorder="1" applyAlignment="1">
      <alignment horizontal="center" wrapText="1"/>
    </xf>
    <xf numFmtId="0" fontId="159" fillId="45" borderId="80" xfId="8726" applyFont="1" applyFill="1" applyBorder="1" applyAlignment="1">
      <alignment horizontal="left"/>
    </xf>
    <xf numFmtId="0" fontId="159" fillId="45" borderId="11" xfId="8726" applyFont="1" applyFill="1" applyBorder="1" applyAlignment="1">
      <alignment horizontal="left"/>
    </xf>
    <xf numFmtId="0" fontId="159" fillId="45" borderId="72" xfId="8726" applyFont="1" applyFill="1" applyBorder="1" applyAlignment="1">
      <alignment horizontal="left"/>
    </xf>
    <xf numFmtId="0" fontId="159" fillId="45" borderId="73" xfId="8726" applyFont="1" applyFill="1" applyBorder="1" applyAlignment="1">
      <alignment horizontal="left"/>
    </xf>
    <xf numFmtId="0" fontId="144" fillId="45" borderId="70" xfId="8726" applyFont="1" applyFill="1" applyBorder="1" applyAlignment="1">
      <alignment horizontal="center"/>
    </xf>
    <xf numFmtId="0" fontId="152" fillId="45" borderId="80" xfId="8726" applyFont="1" applyFill="1" applyBorder="1" applyAlignment="1">
      <alignment horizontal="left"/>
    </xf>
    <xf numFmtId="0" fontId="152" fillId="45" borderId="11" xfId="8726" applyFont="1" applyFill="1" applyBorder="1" applyAlignment="1">
      <alignment horizontal="left"/>
    </xf>
    <xf numFmtId="0" fontId="162" fillId="49" borderId="11" xfId="8726" applyFont="1" applyFill="1" applyBorder="1" applyAlignment="1" applyProtection="1">
      <alignment horizontal="left"/>
      <protection locked="0"/>
    </xf>
    <xf numFmtId="0" fontId="162" fillId="49" borderId="91" xfId="8726" applyFont="1" applyFill="1" applyBorder="1" applyAlignment="1" applyProtection="1">
      <alignment horizontal="left"/>
      <protection locked="0"/>
    </xf>
    <xf numFmtId="0" fontId="163" fillId="49" borderId="80" xfId="8726" applyFont="1" applyFill="1" applyBorder="1" applyAlignment="1" applyProtection="1">
      <alignment horizontal="left" vertical="top"/>
      <protection locked="0"/>
    </xf>
    <xf numFmtId="0" fontId="163" fillId="49" borderId="11" xfId="8726" applyFont="1" applyFill="1" applyBorder="1" applyAlignment="1" applyProtection="1">
      <alignment horizontal="left" vertical="top"/>
      <protection locked="0"/>
    </xf>
    <xf numFmtId="0" fontId="163" fillId="49" borderId="91" xfId="8726" applyFont="1" applyFill="1" applyBorder="1" applyAlignment="1" applyProtection="1">
      <alignment horizontal="left" vertical="top"/>
      <protection locked="0"/>
    </xf>
    <xf numFmtId="0" fontId="163" fillId="49" borderId="72" xfId="8726" applyFont="1" applyFill="1" applyBorder="1" applyAlignment="1" applyProtection="1">
      <alignment horizontal="left" vertical="top"/>
      <protection locked="0"/>
    </xf>
    <xf numFmtId="0" fontId="163" fillId="49" borderId="73" xfId="8726" applyFont="1" applyFill="1" applyBorder="1" applyAlignment="1" applyProtection="1">
      <alignment horizontal="left" vertical="top"/>
      <protection locked="0"/>
    </xf>
    <xf numFmtId="0" fontId="163" fillId="49" borderId="93" xfId="8726" applyFont="1" applyFill="1" applyBorder="1" applyAlignment="1" applyProtection="1">
      <alignment horizontal="left" vertical="top"/>
      <protection locked="0"/>
    </xf>
    <xf numFmtId="0" fontId="144" fillId="45" borderId="75" xfId="8726" applyFont="1" applyFill="1" applyBorder="1" applyAlignment="1">
      <alignment horizontal="center"/>
    </xf>
    <xf numFmtId="0" fontId="144" fillId="45" borderId="76" xfId="8726" applyFont="1" applyFill="1" applyBorder="1" applyAlignment="1">
      <alignment horizontal="center"/>
    </xf>
    <xf numFmtId="0" fontId="144" fillId="45" borderId="77" xfId="8726" applyFont="1" applyFill="1" applyBorder="1" applyAlignment="1">
      <alignment horizontal="center"/>
    </xf>
    <xf numFmtId="0" fontId="100" fillId="45" borderId="74" xfId="8726" applyFont="1" applyFill="1" applyBorder="1" applyAlignment="1">
      <alignment horizontal="left" wrapText="1"/>
    </xf>
    <xf numFmtId="0" fontId="100" fillId="45" borderId="91" xfId="8726" applyFont="1" applyFill="1" applyBorder="1" applyAlignment="1">
      <alignment horizontal="left" wrapText="1"/>
    </xf>
    <xf numFmtId="0" fontId="100" fillId="45" borderId="65" xfId="8726" applyFont="1" applyFill="1" applyBorder="1" applyAlignment="1">
      <alignment horizontal="center"/>
    </xf>
    <xf numFmtId="0" fontId="100" fillId="45" borderId="29" xfId="8726" applyFont="1" applyFill="1" applyBorder="1" applyAlignment="1">
      <alignment horizontal="center"/>
    </xf>
    <xf numFmtId="0" fontId="100" fillId="45" borderId="31" xfId="8726" applyFont="1" applyFill="1" applyBorder="1" applyAlignment="1">
      <alignment horizontal="center"/>
    </xf>
    <xf numFmtId="0" fontId="158" fillId="45" borderId="11" xfId="8726" applyFont="1" applyFill="1" applyBorder="1" applyAlignment="1">
      <alignment horizontal="left"/>
    </xf>
    <xf numFmtId="0" fontId="158" fillId="45" borderId="91" xfId="8726" applyFont="1" applyFill="1" applyBorder="1" applyAlignment="1">
      <alignment horizontal="left"/>
    </xf>
    <xf numFmtId="0" fontId="2" fillId="47" borderId="73" xfId="8726" applyFill="1" applyBorder="1" applyAlignment="1" applyProtection="1">
      <alignment horizontal="center"/>
      <protection locked="0"/>
    </xf>
    <xf numFmtId="0" fontId="2" fillId="47" borderId="93" xfId="8726" applyFill="1" applyBorder="1" applyAlignment="1" applyProtection="1">
      <alignment horizontal="center"/>
      <protection locked="0"/>
    </xf>
    <xf numFmtId="0" fontId="144" fillId="45" borderId="94" xfId="8726" applyFont="1" applyFill="1" applyBorder="1" applyAlignment="1">
      <alignment horizontal="right"/>
    </xf>
    <xf numFmtId="0" fontId="144" fillId="45" borderId="43" xfId="8726" applyFont="1" applyFill="1" applyBorder="1" applyAlignment="1">
      <alignment horizontal="right"/>
    </xf>
    <xf numFmtId="0" fontId="161" fillId="49" borderId="71" xfId="8726" applyFont="1" applyFill="1" applyBorder="1" applyAlignment="1" applyProtection="1">
      <alignment horizontal="left"/>
      <protection locked="0"/>
    </xf>
    <xf numFmtId="0" fontId="161" fillId="49" borderId="74" xfId="8726" applyFont="1" applyFill="1" applyBorder="1" applyAlignment="1" applyProtection="1">
      <alignment horizontal="left"/>
      <protection locked="0"/>
    </xf>
    <xf numFmtId="0" fontId="144" fillId="45" borderId="72" xfId="8726" applyFont="1" applyFill="1" applyBorder="1" applyAlignment="1">
      <alignment horizontal="center"/>
    </xf>
    <xf numFmtId="0" fontId="144" fillId="45" borderId="73" xfId="8726" applyFont="1" applyFill="1" applyBorder="1" applyAlignment="1">
      <alignment horizontal="center"/>
    </xf>
    <xf numFmtId="0" fontId="161" fillId="49" borderId="73" xfId="8726" applyFont="1" applyFill="1" applyBorder="1" applyAlignment="1" applyProtection="1">
      <alignment horizontal="left"/>
      <protection locked="0"/>
    </xf>
    <xf numFmtId="0" fontId="161" fillId="49" borderId="93" xfId="8726" applyFont="1" applyFill="1" applyBorder="1" applyAlignment="1" applyProtection="1">
      <alignment horizontal="left"/>
      <protection locked="0"/>
    </xf>
    <xf numFmtId="0" fontId="161" fillId="44" borderId="80" xfId="8726" applyFont="1" applyFill="1" applyBorder="1" applyAlignment="1" applyProtection="1">
      <alignment horizontal="right"/>
      <protection locked="0"/>
    </xf>
    <xf numFmtId="0" fontId="161" fillId="44" borderId="11" xfId="8726" applyFont="1" applyFill="1" applyBorder="1" applyAlignment="1" applyProtection="1">
      <alignment horizontal="right"/>
      <protection locked="0"/>
    </xf>
    <xf numFmtId="0" fontId="161" fillId="44" borderId="91" xfId="8726" applyFont="1" applyFill="1" applyBorder="1" applyAlignment="1" applyProtection="1">
      <alignment horizontal="right"/>
      <protection locked="0"/>
    </xf>
    <xf numFmtId="0" fontId="161" fillId="49" borderId="5" xfId="8726" applyFont="1" applyFill="1" applyBorder="1" applyAlignment="1" applyProtection="1">
      <alignment horizontal="left"/>
      <protection locked="0"/>
    </xf>
    <xf numFmtId="0" fontId="161" fillId="44" borderId="72" xfId="8726" applyFont="1" applyFill="1" applyBorder="1" applyAlignment="1" applyProtection="1">
      <alignment horizontal="right"/>
      <protection locked="0"/>
    </xf>
    <xf numFmtId="0" fontId="161" fillId="44" borderId="73" xfId="8726" applyFont="1" applyFill="1" applyBorder="1" applyAlignment="1" applyProtection="1">
      <alignment horizontal="right"/>
      <protection locked="0"/>
    </xf>
    <xf numFmtId="0" fontId="161" fillId="44" borderId="93" xfId="8726" applyFont="1" applyFill="1" applyBorder="1" applyAlignment="1" applyProtection="1">
      <alignment horizontal="right"/>
      <protection locked="0"/>
    </xf>
    <xf numFmtId="168" fontId="161" fillId="49" borderId="11" xfId="8727" applyNumberFormat="1"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61" fillId="49" borderId="11" xfId="700" applyNumberFormat="1" applyFont="1" applyFill="1" applyBorder="1" applyAlignment="1" applyProtection="1">
      <alignment horizontal="left"/>
      <protection locked="0"/>
    </xf>
    <xf numFmtId="0" fontId="161" fillId="49" borderId="91" xfId="700" applyNumberFormat="1" applyFont="1" applyFill="1" applyBorder="1" applyAlignment="1" applyProtection="1">
      <alignment horizontal="left"/>
      <protection locked="0"/>
    </xf>
    <xf numFmtId="168" fontId="147" fillId="45" borderId="73" xfId="8727" applyNumberFormat="1" applyFont="1" applyFill="1" applyBorder="1" applyAlignment="1">
      <alignment horizontal="center"/>
    </xf>
    <xf numFmtId="1" fontId="147" fillId="45" borderId="73" xfId="8727" applyNumberFormat="1" applyFont="1" applyFill="1" applyBorder="1" applyAlignment="1">
      <alignment horizontal="center"/>
    </xf>
    <xf numFmtId="0" fontId="147" fillId="45" borderId="73" xfId="8727" applyNumberFormat="1" applyFont="1" applyFill="1" applyBorder="1" applyAlignment="1">
      <alignment horizontal="center"/>
    </xf>
    <xf numFmtId="0" fontId="147" fillId="45" borderId="93" xfId="8727" applyNumberFormat="1" applyFont="1" applyFill="1" applyBorder="1" applyAlignment="1">
      <alignment horizontal="center"/>
    </xf>
    <xf numFmtId="0" fontId="144" fillId="45" borderId="65" xfId="8726" applyFont="1" applyFill="1" applyBorder="1" applyAlignment="1">
      <alignment horizontal="center"/>
    </xf>
    <xf numFmtId="0" fontId="144" fillId="45" borderId="29" xfId="8726" applyFont="1" applyFill="1" applyBorder="1" applyAlignment="1">
      <alignment horizontal="center"/>
    </xf>
    <xf numFmtId="0" fontId="144" fillId="45" borderId="31" xfId="8726" applyFont="1" applyFill="1" applyBorder="1" applyAlignment="1">
      <alignment horizontal="center"/>
    </xf>
    <xf numFmtId="0" fontId="161" fillId="49" borderId="83" xfId="8726" applyFont="1" applyFill="1" applyBorder="1" applyAlignment="1" applyProtection="1">
      <alignment horizontal="left"/>
      <protection locked="0"/>
    </xf>
    <xf numFmtId="0" fontId="148" fillId="45" borderId="11" xfId="8726" applyFont="1" applyFill="1" applyBorder="1" applyAlignment="1">
      <alignment horizontal="center" vertical="center" wrapText="1"/>
    </xf>
    <xf numFmtId="0" fontId="148" fillId="45" borderId="91" xfId="8726" applyFont="1" applyFill="1" applyBorder="1" applyAlignment="1">
      <alignment horizontal="center" vertical="center" wrapText="1"/>
    </xf>
    <xf numFmtId="1" fontId="162" fillId="49" borderId="73" xfId="8726" applyNumberFormat="1" applyFont="1" applyFill="1" applyBorder="1" applyAlignment="1" applyProtection="1">
      <alignment horizontal="center"/>
      <protection locked="0"/>
    </xf>
    <xf numFmtId="1" fontId="162" fillId="49" borderId="84" xfId="8726" applyNumberFormat="1" applyFont="1" applyFill="1" applyBorder="1" applyAlignment="1" applyProtection="1">
      <alignment horizontal="center"/>
      <protection locked="0"/>
    </xf>
    <xf numFmtId="1" fontId="162" fillId="49" borderId="82" xfId="8726" applyNumberFormat="1" applyFont="1" applyFill="1" applyBorder="1" applyAlignment="1" applyProtection="1">
      <alignment horizontal="center"/>
      <protection locked="0"/>
    </xf>
    <xf numFmtId="1" fontId="162" fillId="49" borderId="83" xfId="8726" applyNumberFormat="1" applyFont="1" applyFill="1" applyBorder="1" applyAlignment="1" applyProtection="1">
      <alignment horizontal="center"/>
      <protection locked="0"/>
    </xf>
    <xf numFmtId="0" fontId="161" fillId="49" borderId="72" xfId="8726" applyFont="1" applyFill="1" applyBorder="1" applyAlignment="1" applyProtection="1">
      <alignment horizontal="right"/>
      <protection locked="0"/>
    </xf>
    <xf numFmtId="0" fontId="161" fillId="49" borderId="73" xfId="8726" applyFont="1" applyFill="1" applyBorder="1" applyAlignment="1" applyProtection="1">
      <alignment horizontal="right"/>
      <protection locked="0"/>
    </xf>
    <xf numFmtId="0" fontId="162" fillId="49" borderId="73"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9" fontId="148" fillId="44" borderId="84" xfId="8728" applyFont="1" applyFill="1" applyBorder="1" applyAlignment="1">
      <alignment horizontal="center"/>
    </xf>
    <xf numFmtId="9" fontId="148" fillId="44" borderId="82" xfId="8728" applyFont="1" applyFill="1" applyBorder="1" applyAlignment="1">
      <alignment horizontal="center"/>
    </xf>
    <xf numFmtId="9" fontId="148" fillId="44" borderId="85" xfId="8728" applyFont="1" applyFill="1" applyBorder="1" applyAlignment="1">
      <alignment horizontal="center"/>
    </xf>
    <xf numFmtId="9" fontId="148" fillId="44" borderId="3" xfId="8728" applyFont="1" applyFill="1" applyBorder="1" applyAlignment="1">
      <alignment horizontal="center"/>
    </xf>
    <xf numFmtId="9" fontId="148" fillId="44" borderId="4" xfId="8728" applyFont="1" applyFill="1" applyBorder="1" applyAlignment="1">
      <alignment horizontal="center"/>
    </xf>
    <xf numFmtId="9" fontId="148" fillId="44" borderId="79" xfId="8728" applyFont="1" applyFill="1" applyBorder="1" applyAlignment="1">
      <alignment horizontal="center"/>
    </xf>
    <xf numFmtId="0" fontId="147" fillId="44" borderId="88" xfId="8726" applyFont="1" applyFill="1" applyBorder="1" applyAlignment="1">
      <alignment horizontal="center"/>
    </xf>
    <xf numFmtId="0" fontId="147" fillId="44" borderId="42" xfId="8726" applyFont="1" applyFill="1" applyBorder="1" applyAlignment="1">
      <alignment horizontal="center"/>
    </xf>
    <xf numFmtId="0" fontId="147" fillId="44" borderId="87" xfId="8726" applyFont="1" applyFill="1" applyBorder="1" applyAlignment="1">
      <alignment horizontal="center"/>
    </xf>
    <xf numFmtId="9" fontId="147" fillId="49" borderId="13" xfId="8726" applyNumberFormat="1" applyFont="1" applyFill="1" applyBorder="1" applyAlignment="1" applyProtection="1">
      <alignment horizontal="center"/>
      <protection locked="0"/>
    </xf>
    <xf numFmtId="0" fontId="144" fillId="45" borderId="67" xfId="8726" applyFont="1" applyFill="1" applyBorder="1" applyAlignment="1">
      <alignment horizontal="center"/>
    </xf>
    <xf numFmtId="0" fontId="144" fillId="45" borderId="68" xfId="8726" applyFont="1" applyFill="1" applyBorder="1" applyAlignment="1">
      <alignment horizontal="center"/>
    </xf>
    <xf numFmtId="0" fontId="144" fillId="45" borderId="69" xfId="8726" applyFont="1" applyFill="1" applyBorder="1" applyAlignment="1">
      <alignment horizontal="center"/>
    </xf>
    <xf numFmtId="0" fontId="148" fillId="45" borderId="65" xfId="8726" applyFont="1" applyFill="1" applyBorder="1" applyAlignment="1">
      <alignment horizontal="center" vertical="center" wrapText="1"/>
    </xf>
    <xf numFmtId="0" fontId="148" fillId="45" borderId="29" xfId="8726" applyFont="1" applyFill="1" applyBorder="1" applyAlignment="1">
      <alignment horizontal="center" vertical="center" wrapText="1"/>
    </xf>
    <xf numFmtId="0" fontId="148" fillId="45" borderId="31" xfId="8726" applyFont="1" applyFill="1" applyBorder="1" applyAlignment="1">
      <alignment horizontal="center" vertical="center" wrapText="1"/>
    </xf>
    <xf numFmtId="0" fontId="148" fillId="45" borderId="86" xfId="8726" applyFont="1" applyFill="1" applyBorder="1" applyAlignment="1">
      <alignment horizontal="center" vertical="center" wrapText="1"/>
    </xf>
    <xf numFmtId="0" fontId="148" fillId="45" borderId="42" xfId="8726" applyFont="1" applyFill="1" applyBorder="1" applyAlignment="1">
      <alignment horizontal="center" vertical="center" wrapText="1"/>
    </xf>
    <xf numFmtId="0" fontId="148" fillId="45" borderId="44" xfId="8726" applyFont="1" applyFill="1" applyBorder="1" applyAlignment="1">
      <alignment horizontal="center" vertical="center" wrapText="1"/>
    </xf>
    <xf numFmtId="0" fontId="148" fillId="45" borderId="67" xfId="8726" applyFont="1" applyFill="1" applyBorder="1" applyAlignment="1">
      <alignment horizontal="center"/>
    </xf>
    <xf numFmtId="0" fontId="148" fillId="45" borderId="68" xfId="8726" applyFont="1" applyFill="1" applyBorder="1" applyAlignment="1">
      <alignment horizontal="center"/>
    </xf>
    <xf numFmtId="0" fontId="148" fillId="45" borderId="69" xfId="8726" applyFont="1" applyFill="1" applyBorder="1" applyAlignment="1">
      <alignment horizontal="center"/>
    </xf>
    <xf numFmtId="9" fontId="147" fillId="44" borderId="88" xfId="1022" applyFont="1" applyFill="1" applyBorder="1" applyAlignment="1">
      <alignment horizontal="center"/>
    </xf>
    <xf numFmtId="9" fontId="147" fillId="44" borderId="42" xfId="1022" applyFont="1" applyFill="1" applyBorder="1" applyAlignment="1">
      <alignment horizontal="center"/>
    </xf>
    <xf numFmtId="9" fontId="147" fillId="44" borderId="44" xfId="1022" applyFont="1" applyFill="1" applyBorder="1" applyAlignment="1">
      <alignment horizontal="center"/>
    </xf>
    <xf numFmtId="0" fontId="148" fillId="45" borderId="95" xfId="8726" applyFont="1" applyFill="1" applyBorder="1" applyAlignment="1">
      <alignment horizontal="center" vertical="center" wrapText="1"/>
    </xf>
    <xf numFmtId="0" fontId="148" fillId="45" borderId="13" xfId="8726" applyFont="1" applyFill="1" applyBorder="1" applyAlignment="1">
      <alignment horizontal="center" vertical="center"/>
    </xf>
    <xf numFmtId="0" fontId="148" fillId="45" borderId="80" xfId="8726" applyFont="1" applyFill="1" applyBorder="1" applyAlignment="1">
      <alignment horizontal="center" vertical="center"/>
    </xf>
    <xf numFmtId="0" fontId="148" fillId="45" borderId="11" xfId="8726" applyFont="1" applyFill="1" applyBorder="1" applyAlignment="1">
      <alignment horizontal="center" vertical="center"/>
    </xf>
    <xf numFmtId="0" fontId="147" fillId="44" borderId="86" xfId="8726" applyFont="1" applyFill="1" applyBorder="1" applyAlignment="1">
      <alignment horizontal="center"/>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9" fontId="148" fillId="49" borderId="9" xfId="8726" applyNumberFormat="1" applyFont="1" applyFill="1" applyBorder="1" applyAlignment="1" applyProtection="1">
      <alignment horizontal="center"/>
      <protection locked="0"/>
    </xf>
    <xf numFmtId="9" fontId="148" fillId="49" borderId="6" xfId="8726" applyNumberFormat="1" applyFont="1" applyFill="1" applyBorder="1" applyAlignment="1" applyProtection="1">
      <alignment horizontal="center"/>
      <protection locked="0"/>
    </xf>
    <xf numFmtId="9" fontId="148" fillId="49" borderId="10" xfId="8726" applyNumberFormat="1" applyFont="1" applyFill="1" applyBorder="1" applyAlignment="1" applyProtection="1">
      <alignment horizontal="center"/>
      <protection locked="0"/>
    </xf>
    <xf numFmtId="0" fontId="148" fillId="44" borderId="9" xfId="8726" applyFont="1" applyFill="1" applyBorder="1" applyAlignment="1">
      <alignment horizontal="center"/>
    </xf>
    <xf numFmtId="0" fontId="148" fillId="44" borderId="6" xfId="8726" applyFont="1" applyFill="1" applyBorder="1" applyAlignment="1">
      <alignment horizontal="center"/>
    </xf>
    <xf numFmtId="0" fontId="148" fillId="44" borderId="10" xfId="8726" applyFont="1" applyFill="1" applyBorder="1" applyAlignment="1">
      <alignment horizontal="center"/>
    </xf>
    <xf numFmtId="0" fontId="148" fillId="44" borderId="103" xfId="8726" applyFont="1" applyFill="1" applyBorder="1" applyAlignment="1">
      <alignment horizontal="center"/>
    </xf>
    <xf numFmtId="9" fontId="161" fillId="49" borderId="92" xfId="8726" applyNumberFormat="1" applyFont="1" applyFill="1" applyBorder="1" applyAlignment="1">
      <alignment horizontal="center"/>
    </xf>
    <xf numFmtId="9" fontId="161" fillId="49" borderId="4" xfId="8726" applyNumberFormat="1" applyFont="1" applyFill="1" applyBorder="1" applyAlignment="1">
      <alignment horizontal="center"/>
    </xf>
    <xf numFmtId="9" fontId="161" fillId="49" borderId="5" xfId="8726" applyNumberFormat="1" applyFont="1" applyFill="1" applyBorder="1" applyAlignment="1">
      <alignment horizontal="center"/>
    </xf>
    <xf numFmtId="0" fontId="161" fillId="44" borderId="3" xfId="8726" applyFont="1" applyFill="1" applyBorder="1" applyAlignment="1">
      <alignment horizontal="center"/>
    </xf>
    <xf numFmtId="0" fontId="161" fillId="44" borderId="4" xfId="8726" applyFont="1" applyFill="1" applyBorder="1" applyAlignment="1">
      <alignment horizontal="center"/>
    </xf>
    <xf numFmtId="0" fontId="161" fillId="44" borderId="5" xfId="8726" applyFont="1" applyFill="1" applyBorder="1" applyAlignment="1">
      <alignment horizontal="center"/>
    </xf>
    <xf numFmtId="9" fontId="147" fillId="44" borderId="3" xfId="8726" applyNumberFormat="1" applyFont="1" applyFill="1" applyBorder="1" applyAlignment="1">
      <alignment horizontal="center"/>
    </xf>
    <xf numFmtId="9" fontId="147" fillId="44" borderId="4" xfId="8726" applyNumberFormat="1" applyFont="1" applyFill="1" applyBorder="1" applyAlignment="1">
      <alignment horizontal="center"/>
    </xf>
    <xf numFmtId="9" fontId="147" fillId="44" borderId="79" xfId="8726" applyNumberFormat="1" applyFont="1" applyFill="1" applyBorder="1" applyAlignment="1">
      <alignment horizontal="center"/>
    </xf>
    <xf numFmtId="0" fontId="147" fillId="44" borderId="81" xfId="8726" applyFont="1" applyFill="1" applyBorder="1" applyAlignment="1">
      <alignment horizontal="center"/>
    </xf>
    <xf numFmtId="0" fontId="147" fillId="44" borderId="82" xfId="8726" applyFont="1" applyFill="1" applyBorder="1" applyAlignment="1">
      <alignment horizontal="center"/>
    </xf>
    <xf numFmtId="0" fontId="147" fillId="44" borderId="83" xfId="8726" applyFont="1" applyFill="1" applyBorder="1" applyAlignment="1">
      <alignment horizontal="center"/>
    </xf>
    <xf numFmtId="0" fontId="161" fillId="44" borderId="84" xfId="8726" applyFont="1" applyFill="1" applyBorder="1" applyAlignment="1">
      <alignment horizontal="center"/>
    </xf>
    <xf numFmtId="0" fontId="161" fillId="44" borderId="82" xfId="8726" applyFont="1" applyFill="1" applyBorder="1" applyAlignment="1">
      <alignment horizontal="center"/>
    </xf>
    <xf numFmtId="0" fontId="161" fillId="44" borderId="83" xfId="8726" applyFont="1" applyFill="1" applyBorder="1" applyAlignment="1">
      <alignment horizontal="center"/>
    </xf>
    <xf numFmtId="9" fontId="147" fillId="44" borderId="84" xfId="8726" applyNumberFormat="1" applyFont="1" applyFill="1" applyBorder="1" applyAlignment="1">
      <alignment horizontal="center"/>
    </xf>
    <xf numFmtId="9" fontId="147" fillId="44" borderId="82" xfId="8726" applyNumberFormat="1" applyFont="1" applyFill="1" applyBorder="1" applyAlignment="1">
      <alignment horizontal="center"/>
    </xf>
    <xf numFmtId="9" fontId="147" fillId="44" borderId="85" xfId="8726" applyNumberFormat="1" applyFont="1" applyFill="1" applyBorder="1" applyAlignment="1">
      <alignment horizontal="center"/>
    </xf>
    <xf numFmtId="0" fontId="147" fillId="45" borderId="13"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11" xfId="8726" applyFont="1" applyFill="1" applyBorder="1" applyAlignment="1">
      <alignment horizontal="center" vertical="center"/>
    </xf>
    <xf numFmtId="0" fontId="147" fillId="45" borderId="9" xfId="8726" applyFont="1" applyFill="1" applyBorder="1" applyAlignment="1">
      <alignment horizontal="center" vertical="center"/>
    </xf>
    <xf numFmtId="0" fontId="147" fillId="45" borderId="3" xfId="8726" applyFont="1" applyFill="1" applyBorder="1" applyAlignment="1">
      <alignment horizontal="center" vertical="center"/>
    </xf>
    <xf numFmtId="0" fontId="147" fillId="45" borderId="78" xfId="8726" applyFont="1" applyFill="1" applyBorder="1" applyAlignment="1">
      <alignment horizontal="center"/>
    </xf>
    <xf numFmtId="0" fontId="147" fillId="45" borderId="2" xfId="8726" applyFont="1" applyFill="1" applyBorder="1" applyAlignment="1">
      <alignment horizontal="center"/>
    </xf>
    <xf numFmtId="0" fontId="147" fillId="45" borderId="7" xfId="8726" applyFont="1" applyFill="1" applyBorder="1" applyAlignment="1">
      <alignment horizontal="center"/>
    </xf>
    <xf numFmtId="0" fontId="147" fillId="45" borderId="3" xfId="8726" applyFont="1" applyFill="1" applyBorder="1" applyAlignment="1">
      <alignment horizontal="center"/>
    </xf>
    <xf numFmtId="0" fontId="147" fillId="45" borderId="4" xfId="8726" applyFont="1" applyFill="1" applyBorder="1" applyAlignment="1">
      <alignment horizontal="center"/>
    </xf>
    <xf numFmtId="0" fontId="147" fillId="45" borderId="5" xfId="8726" applyFont="1" applyFill="1" applyBorder="1" applyAlignment="1">
      <alignment horizontal="center"/>
    </xf>
    <xf numFmtId="0" fontId="147" fillId="45" borderId="79" xfId="8726" applyFont="1" applyFill="1" applyBorder="1" applyAlignment="1">
      <alignment horizontal="center"/>
    </xf>
    <xf numFmtId="168" fontId="163" fillId="44" borderId="11" xfId="8727" applyNumberFormat="1" applyFont="1" applyFill="1" applyBorder="1" applyAlignment="1" applyProtection="1">
      <alignment horizontal="left"/>
    </xf>
    <xf numFmtId="0" fontId="147" fillId="45" borderId="11" xfId="8726" applyFont="1" applyFill="1" applyBorder="1" applyAlignment="1">
      <alignment horizontal="right"/>
    </xf>
    <xf numFmtId="1" fontId="2" fillId="44" borderId="11" xfId="8726" applyNumberFormat="1" applyFill="1" applyBorder="1" applyAlignment="1">
      <alignment horizontal="center"/>
    </xf>
    <xf numFmtId="0" fontId="2" fillId="44" borderId="11" xfId="8726" applyFill="1" applyBorder="1" applyAlignment="1">
      <alignment horizontal="center"/>
    </xf>
    <xf numFmtId="0" fontId="145" fillId="45" borderId="11" xfId="8726" applyFont="1" applyFill="1" applyBorder="1" applyAlignment="1">
      <alignment horizontal="right" wrapText="1"/>
    </xf>
    <xf numFmtId="14" fontId="146" fillId="49" borderId="11" xfId="8726" applyNumberFormat="1" applyFont="1" applyFill="1" applyBorder="1" applyAlignment="1" applyProtection="1">
      <alignment horizontal="center" vertical="center"/>
      <protection locked="0"/>
    </xf>
    <xf numFmtId="0" fontId="146" fillId="49" borderId="11" xfId="8726" applyFont="1" applyFill="1" applyBorder="1" applyAlignment="1" applyProtection="1">
      <alignment horizontal="center" vertical="center"/>
      <protection locked="0"/>
    </xf>
    <xf numFmtId="0" fontId="100" fillId="45" borderId="67" xfId="8726" applyFont="1" applyFill="1" applyBorder="1" applyAlignment="1">
      <alignment horizontal="center"/>
    </xf>
    <xf numFmtId="0" fontId="100" fillId="45" borderId="68" xfId="8726" applyFont="1" applyFill="1" applyBorder="1" applyAlignment="1">
      <alignment horizontal="center"/>
    </xf>
    <xf numFmtId="0" fontId="100" fillId="45" borderId="69" xfId="8726" applyFont="1" applyFill="1" applyBorder="1" applyAlignment="1">
      <alignment horizontal="center"/>
    </xf>
    <xf numFmtId="0" fontId="146" fillId="49" borderId="67" xfId="8726" applyFont="1" applyFill="1" applyBorder="1" applyAlignment="1" applyProtection="1">
      <alignment horizontal="center"/>
      <protection locked="0"/>
    </xf>
    <xf numFmtId="0" fontId="146" fillId="49" borderId="68" xfId="8726" applyFont="1" applyFill="1" applyBorder="1" applyAlignment="1" applyProtection="1">
      <alignment horizontal="center"/>
      <protection locked="0"/>
    </xf>
    <xf numFmtId="0" fontId="146" fillId="49" borderId="69" xfId="8726" applyFont="1" applyFill="1" applyBorder="1" applyAlignment="1" applyProtection="1">
      <alignment horizontal="center"/>
      <protection locked="0"/>
    </xf>
    <xf numFmtId="0" fontId="100" fillId="45" borderId="67" xfId="8726" applyFont="1" applyFill="1" applyBorder="1" applyAlignment="1">
      <alignment horizontal="right"/>
    </xf>
    <xf numFmtId="0" fontId="100" fillId="45" borderId="68" xfId="8726" applyFont="1" applyFill="1" applyBorder="1" applyAlignment="1">
      <alignment horizontal="right"/>
    </xf>
    <xf numFmtId="0" fontId="100" fillId="45" borderId="99" xfId="8726" applyFont="1" applyFill="1" applyBorder="1" applyAlignment="1">
      <alignment horizontal="right"/>
    </xf>
    <xf numFmtId="0" fontId="2" fillId="44" borderId="97" xfId="8726" applyFill="1" applyBorder="1" applyAlignment="1">
      <alignment horizontal="center"/>
    </xf>
    <xf numFmtId="0" fontId="2" fillId="44" borderId="98" xfId="8726" applyFill="1" applyBorder="1" applyAlignment="1">
      <alignment horizontal="center"/>
    </xf>
    <xf numFmtId="1" fontId="146" fillId="49" borderId="11" xfId="8726" applyNumberFormat="1" applyFont="1" applyFill="1" applyBorder="1" applyAlignment="1" applyProtection="1">
      <alignment horizontal="center"/>
      <protection locked="0"/>
    </xf>
    <xf numFmtId="0" fontId="143" fillId="47" borderId="65" xfId="8726" applyFont="1" applyFill="1" applyBorder="1" applyAlignment="1">
      <alignment horizontal="center"/>
    </xf>
    <xf numFmtId="0" fontId="143" fillId="47" borderId="29" xfId="8726" applyFont="1" applyFill="1" applyBorder="1" applyAlignment="1">
      <alignment horizontal="center"/>
    </xf>
    <xf numFmtId="0" fontId="143" fillId="47" borderId="31" xfId="8726" applyFont="1" applyFill="1" applyBorder="1" applyAlignment="1">
      <alignment horizontal="center"/>
    </xf>
    <xf numFmtId="0" fontId="144" fillId="49" borderId="66" xfId="8726" applyFont="1" applyFill="1" applyBorder="1" applyAlignment="1">
      <alignment horizontal="center"/>
    </xf>
    <xf numFmtId="0" fontId="144" fillId="49" borderId="0" xfId="8726" applyFont="1" applyFill="1" applyAlignment="1">
      <alignment horizontal="center"/>
    </xf>
    <xf numFmtId="0" fontId="144" fillId="49" borderId="41" xfId="8726" applyFont="1" applyFill="1" applyBorder="1" applyAlignment="1">
      <alignment horizontal="center"/>
    </xf>
    <xf numFmtId="0" fontId="146" fillId="44" borderId="67" xfId="8726" applyFont="1" applyFill="1" applyBorder="1" applyAlignment="1">
      <alignment horizontal="left"/>
    </xf>
    <xf numFmtId="0" fontId="146" fillId="44" borderId="68" xfId="8726" applyFont="1" applyFill="1" applyBorder="1" applyAlignment="1">
      <alignment horizontal="left"/>
    </xf>
    <xf numFmtId="0" fontId="146" fillId="44" borderId="69" xfId="8726" applyFont="1" applyFill="1" applyBorder="1" applyAlignment="1">
      <alignment horizontal="left"/>
    </xf>
    <xf numFmtId="0" fontId="145" fillId="45" borderId="11" xfId="8726" applyFont="1" applyFill="1" applyBorder="1" applyAlignment="1">
      <alignment horizontal="right"/>
    </xf>
    <xf numFmtId="0" fontId="2" fillId="44" borderId="67" xfId="8726" applyFill="1" applyBorder="1" applyAlignment="1">
      <alignment horizontal="center"/>
    </xf>
    <xf numFmtId="0" fontId="2" fillId="44" borderId="68" xfId="8726" applyFill="1" applyBorder="1" applyAlignment="1">
      <alignment horizontal="center"/>
    </xf>
    <xf numFmtId="0" fontId="2" fillId="44" borderId="69" xfId="8726" applyFill="1" applyBorder="1" applyAlignment="1">
      <alignment horizontal="center"/>
    </xf>
    <xf numFmtId="0" fontId="100" fillId="45" borderId="70" xfId="8726" applyFont="1" applyFill="1" applyBorder="1" applyAlignment="1">
      <alignment horizontal="center" wrapText="1"/>
    </xf>
    <xf numFmtId="0" fontId="100" fillId="45" borderId="71" xfId="8726" applyFont="1" applyFill="1" applyBorder="1" applyAlignment="1">
      <alignment horizontal="center" wrapText="1"/>
    </xf>
    <xf numFmtId="0" fontId="100" fillId="45" borderId="74" xfId="8726" applyFont="1" applyFill="1" applyBorder="1" applyAlignment="1">
      <alignment horizontal="center" wrapText="1"/>
    </xf>
    <xf numFmtId="0" fontId="100" fillId="45" borderId="104" xfId="8726" applyFont="1" applyFill="1" applyBorder="1" applyAlignment="1">
      <alignment horizontal="center"/>
    </xf>
    <xf numFmtId="0" fontId="100" fillId="45" borderId="97" xfId="8726" applyFont="1" applyFill="1" applyBorder="1" applyAlignment="1">
      <alignment horizontal="center"/>
    </xf>
    <xf numFmtId="0" fontId="100" fillId="45" borderId="98" xfId="8726" applyFont="1" applyFill="1" applyBorder="1" applyAlignment="1">
      <alignment horizontal="center"/>
    </xf>
    <xf numFmtId="43" fontId="144" fillId="56" borderId="13" xfId="698" applyFont="1" applyFill="1" applyBorder="1" applyAlignment="1" applyProtection="1">
      <alignment horizontal="center"/>
      <protection hidden="1"/>
    </xf>
    <xf numFmtId="43" fontId="146" fillId="53" borderId="11" xfId="698" applyFont="1" applyFill="1" applyBorder="1" applyAlignment="1" applyProtection="1">
      <alignment horizontal="left" wrapText="1"/>
      <protection hidden="1"/>
    </xf>
    <xf numFmtId="0" fontId="161" fillId="45" borderId="11" xfId="8726" applyFont="1" applyFill="1" applyBorder="1" applyAlignment="1">
      <alignment horizontal="left"/>
    </xf>
    <xf numFmtId="0" fontId="171" fillId="45" borderId="11" xfId="8726" applyFont="1" applyFill="1" applyBorder="1" applyAlignment="1">
      <alignment horizontal="left" wrapText="1"/>
    </xf>
    <xf numFmtId="0" fontId="148" fillId="45" borderId="13" xfId="0" applyFont="1" applyFill="1" applyBorder="1" applyAlignment="1" applyProtection="1">
      <alignment horizontal="left" wrapText="1"/>
      <protection hidden="1"/>
    </xf>
    <xf numFmtId="0" fontId="148" fillId="45" borderId="13" xfId="0" applyFont="1" applyFill="1" applyBorder="1" applyAlignment="1" applyProtection="1">
      <alignment horizontal="center" wrapText="1"/>
      <protection hidden="1"/>
    </xf>
    <xf numFmtId="182" fontId="2" fillId="0" borderId="13" xfId="8726" applyNumberFormat="1" applyBorder="1" applyAlignment="1">
      <alignment horizontal="center"/>
    </xf>
    <xf numFmtId="0" fontId="2" fillId="0" borderId="13" xfId="8726" applyBorder="1" applyAlignment="1">
      <alignment horizontal="center"/>
    </xf>
    <xf numFmtId="44" fontId="2" fillId="0" borderId="11" xfId="700" applyFont="1" applyBorder="1" applyAlignment="1" applyProtection="1">
      <alignment horizontal="center"/>
      <protection hidden="1"/>
    </xf>
    <xf numFmtId="44" fontId="2" fillId="49" borderId="11" xfId="700" applyFont="1" applyFill="1" applyBorder="1" applyAlignment="1" applyProtection="1">
      <alignment horizontal="center"/>
      <protection hidden="1"/>
    </xf>
    <xf numFmtId="168" fontId="146" fillId="49" borderId="11" xfId="8727" applyNumberFormat="1" applyFont="1" applyFill="1" applyBorder="1" applyAlignment="1">
      <alignment horizontal="center"/>
    </xf>
    <xf numFmtId="0" fontId="144" fillId="44" borderId="11" xfId="8726" applyFont="1" applyFill="1" applyBorder="1" applyAlignment="1">
      <alignment horizontal="left"/>
    </xf>
    <xf numFmtId="0" fontId="161" fillId="48" borderId="3" xfId="8726" applyFont="1" applyFill="1" applyBorder="1" applyAlignment="1">
      <alignment horizontal="center"/>
    </xf>
    <xf numFmtId="0" fontId="161" fillId="48" borderId="4" xfId="8726" applyFont="1" applyFill="1" applyBorder="1" applyAlignment="1">
      <alignment horizontal="center"/>
    </xf>
    <xf numFmtId="0" fontId="161" fillId="48" borderId="5" xfId="8726" applyFont="1" applyFill="1" applyBorder="1" applyAlignment="1">
      <alignment horizontal="center"/>
    </xf>
    <xf numFmtId="0" fontId="146" fillId="49" borderId="3" xfId="0" applyFont="1" applyFill="1" applyBorder="1" applyAlignment="1" applyProtection="1">
      <alignment horizontal="center"/>
      <protection locked="0"/>
    </xf>
    <xf numFmtId="0" fontId="146" fillId="49" borderId="4" xfId="0" applyFont="1" applyFill="1" applyBorder="1" applyAlignment="1" applyProtection="1">
      <alignment horizontal="center"/>
      <protection locked="0"/>
    </xf>
    <xf numFmtId="0" fontId="146" fillId="49" borderId="5" xfId="0" applyFont="1" applyFill="1" applyBorder="1" applyAlignment="1" applyProtection="1">
      <alignment horizontal="center"/>
      <protection locked="0"/>
    </xf>
    <xf numFmtId="43" fontId="144" fillId="53" borderId="80" xfId="698" applyFont="1" applyFill="1" applyBorder="1" applyAlignment="1" applyProtection="1">
      <alignment horizontal="right"/>
      <protection hidden="1"/>
    </xf>
    <xf numFmtId="43" fontId="144" fillId="53" borderId="11" xfId="698" applyFont="1" applyFill="1" applyBorder="1" applyAlignment="1" applyProtection="1">
      <alignment horizontal="right"/>
      <protection hidden="1"/>
    </xf>
    <xf numFmtId="44" fontId="144" fillId="0" borderId="11" xfId="700" applyFont="1" applyBorder="1" applyAlignment="1" applyProtection="1">
      <alignment horizontal="center"/>
      <protection hidden="1"/>
    </xf>
    <xf numFmtId="164" fontId="144" fillId="0" borderId="11" xfId="700" applyNumberFormat="1" applyFont="1" applyBorder="1" applyAlignment="1" applyProtection="1">
      <alignment horizontal="center"/>
      <protection hidden="1"/>
    </xf>
    <xf numFmtId="9" fontId="144" fillId="0" borderId="11" xfId="1022" applyFont="1" applyBorder="1" applyAlignment="1" applyProtection="1">
      <alignment horizontal="center"/>
      <protection hidden="1"/>
    </xf>
    <xf numFmtId="168" fontId="14" fillId="2" borderId="3" xfId="569" applyNumberFormat="1" applyFill="1" applyBorder="1" applyAlignment="1">
      <alignment horizontal="center"/>
    </xf>
    <xf numFmtId="168" fontId="14" fillId="2" borderId="4" xfId="569" applyNumberFormat="1" applyFill="1" applyBorder="1" applyAlignment="1">
      <alignment horizontal="center"/>
    </xf>
    <xf numFmtId="168" fontId="14" fillId="2" borderId="5" xfId="569" applyNumberFormat="1" applyFill="1" applyBorder="1" applyAlignment="1">
      <alignment horizontal="center"/>
    </xf>
    <xf numFmtId="168" fontId="14" fillId="5" borderId="5" xfId="569" applyNumberFormat="1" applyFill="1" applyBorder="1" applyAlignment="1" applyProtection="1">
      <alignment horizontal="center"/>
      <protection locked="0"/>
    </xf>
    <xf numFmtId="168" fontId="14" fillId="5" borderId="11" xfId="569" applyNumberFormat="1" applyFill="1" applyBorder="1" applyAlignment="1" applyProtection="1">
      <alignment horizontal="center"/>
      <protection locked="0"/>
    </xf>
    <xf numFmtId="168" fontId="14" fillId="0" borderId="5" xfId="569" applyNumberFormat="1" applyBorder="1" applyAlignment="1">
      <alignment horizontal="center"/>
    </xf>
    <xf numFmtId="168" fontId="14" fillId="0" borderId="11" xfId="569" applyNumberFormat="1" applyBorder="1" applyAlignment="1">
      <alignment horizontal="center"/>
    </xf>
    <xf numFmtId="168" fontId="14" fillId="0" borderId="3" xfId="569" applyNumberFormat="1" applyBorder="1" applyAlignment="1">
      <alignment horizontal="center"/>
    </xf>
    <xf numFmtId="168" fontId="14" fillId="0" borderId="4" xfId="569" applyNumberFormat="1" applyBorder="1" applyAlignment="1">
      <alignment horizontal="center"/>
    </xf>
    <xf numFmtId="179" fontId="21" fillId="0" borderId="0" xfId="569" applyNumberFormat="1" applyFont="1" applyAlignment="1">
      <alignment horizontal="center" wrapText="1"/>
    </xf>
    <xf numFmtId="0" fontId="21" fillId="0" borderId="16" xfId="271" applyFont="1" applyBorder="1" applyAlignment="1">
      <alignment horizontal="center"/>
    </xf>
    <xf numFmtId="164" fontId="21" fillId="0" borderId="0" xfId="569" applyNumberFormat="1" applyFont="1" applyAlignment="1">
      <alignment horizontal="center" wrapText="1"/>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51" fillId="0" borderId="0" xfId="569" applyFont="1" applyAlignment="1">
      <alignment horizontal="left"/>
    </xf>
    <xf numFmtId="0" fontId="14" fillId="0" borderId="3" xfId="569" applyBorder="1" applyAlignment="1">
      <alignment horizontal="right"/>
    </xf>
    <xf numFmtId="0" fontId="14" fillId="0" borderId="4" xfId="569" applyBorder="1" applyAlignment="1">
      <alignment horizontal="right"/>
    </xf>
    <xf numFmtId="0" fontId="14" fillId="0" borderId="5" xfId="569" applyBorder="1" applyAlignment="1">
      <alignment horizontal="right"/>
    </xf>
    <xf numFmtId="0" fontId="22" fillId="0" borderId="3" xfId="569" applyFont="1" applyBorder="1" applyAlignment="1">
      <alignment horizontal="right"/>
    </xf>
    <xf numFmtId="0" fontId="22" fillId="0" borderId="4" xfId="569" applyFont="1" applyBorder="1" applyAlignment="1">
      <alignment horizontal="right"/>
    </xf>
    <xf numFmtId="0" fontId="22" fillId="0" borderId="5" xfId="569" applyFont="1" applyBorder="1" applyAlignment="1">
      <alignment horizontal="right"/>
    </xf>
    <xf numFmtId="168" fontId="14" fillId="0" borderId="3" xfId="569" applyNumberFormat="1" applyBorder="1" applyAlignment="1">
      <alignment horizontal="right"/>
    </xf>
    <xf numFmtId="168" fontId="14" fillId="0" borderId="4" xfId="569" applyNumberFormat="1" applyBorder="1" applyAlignment="1">
      <alignment horizontal="right"/>
    </xf>
    <xf numFmtId="168" fontId="14" fillId="0" borderId="5" xfId="569" applyNumberFormat="1" applyBorder="1" applyAlignment="1">
      <alignment horizontal="right"/>
    </xf>
    <xf numFmtId="9" fontId="14" fillId="0" borderId="5" xfId="569" applyNumberFormat="1" applyBorder="1" applyAlignment="1">
      <alignment horizontal="center"/>
    </xf>
    <xf numFmtId="9" fontId="14" fillId="0" borderId="11" xfId="569" applyNumberFormat="1" applyBorder="1" applyAlignment="1">
      <alignment horizontal="center"/>
    </xf>
    <xf numFmtId="0" fontId="21" fillId="0" borderId="3" xfId="569" applyFont="1" applyBorder="1" applyAlignment="1">
      <alignment horizontal="left"/>
    </xf>
    <xf numFmtId="0" fontId="21" fillId="0" borderId="5" xfId="569" applyFont="1" applyBorder="1" applyAlignment="1">
      <alignment horizontal="left"/>
    </xf>
    <xf numFmtId="0" fontId="22" fillId="0" borderId="4" xfId="569" applyFont="1" applyBorder="1" applyAlignment="1">
      <alignment horizontal="left"/>
    </xf>
    <xf numFmtId="0" fontId="22" fillId="0" borderId="5" xfId="569" applyFont="1" applyBorder="1" applyAlignment="1">
      <alignment horizontal="left"/>
    </xf>
    <xf numFmtId="0" fontId="20" fillId="3" borderId="2" xfId="569" applyFont="1" applyFill="1" applyBorder="1" applyAlignment="1">
      <alignment horizontal="center" vertical="center"/>
    </xf>
    <xf numFmtId="0" fontId="20" fillId="3" borderId="16" xfId="569" applyFont="1" applyFill="1" applyBorder="1" applyAlignment="1">
      <alignment horizontal="center" vertical="center"/>
    </xf>
    <xf numFmtId="0" fontId="21" fillId="0" borderId="11" xfId="569" applyFont="1" applyBorder="1" applyAlignment="1">
      <alignment horizontal="center" wrapText="1"/>
    </xf>
    <xf numFmtId="168" fontId="14" fillId="0" borderId="7" xfId="569" applyNumberFormat="1" applyBorder="1" applyAlignment="1">
      <alignment horizontal="center"/>
    </xf>
    <xf numFmtId="168" fontId="14" fillId="0" borderId="15" xfId="569" applyNumberFormat="1" applyBorder="1" applyAlignment="1">
      <alignment horizontal="center"/>
    </xf>
    <xf numFmtId="168" fontId="14" fillId="5" borderId="10" xfId="569" applyNumberFormat="1" applyFill="1" applyBorder="1" applyAlignment="1" applyProtection="1">
      <alignment horizontal="center"/>
      <protection locked="0"/>
    </xf>
    <xf numFmtId="168" fontId="14" fillId="5" borderId="13" xfId="569" applyNumberFormat="1" applyFill="1" applyBorder="1" applyAlignment="1" applyProtection="1">
      <alignment horizontal="center"/>
      <protection locked="0"/>
    </xf>
    <xf numFmtId="5" fontId="14" fillId="0" borderId="5" xfId="569" applyNumberFormat="1" applyBorder="1" applyAlignment="1">
      <alignment horizontal="center"/>
    </xf>
    <xf numFmtId="5" fontId="14" fillId="0" borderId="11" xfId="569" applyNumberFormat="1" applyBorder="1" applyAlignment="1">
      <alignment horizontal="center"/>
    </xf>
    <xf numFmtId="5" fontId="14" fillId="0" borderId="3" xfId="569" applyNumberFormat="1" applyBorder="1" applyAlignment="1">
      <alignment horizontal="center"/>
    </xf>
    <xf numFmtId="5" fontId="14" fillId="0" borderId="4" xfId="569" applyNumberFormat="1" applyBorder="1" applyAlignment="1">
      <alignment horizontal="center"/>
    </xf>
    <xf numFmtId="9" fontId="14" fillId="0" borderId="9" xfId="569" applyNumberFormat="1" applyBorder="1" applyAlignment="1">
      <alignment horizontal="center" vertical="center"/>
    </xf>
    <xf numFmtId="9" fontId="14" fillId="0" borderId="6" xfId="569" applyNumberFormat="1" applyBorder="1" applyAlignment="1">
      <alignment horizontal="center" vertical="center"/>
    </xf>
    <xf numFmtId="9" fontId="14" fillId="0" borderId="10" xfId="569" applyNumberFormat="1" applyBorder="1" applyAlignment="1">
      <alignment horizontal="center" vertical="center"/>
    </xf>
    <xf numFmtId="168" fontId="14" fillId="0" borderId="11" xfId="569" applyNumberFormat="1" applyBorder="1" applyAlignment="1">
      <alignment horizontal="right"/>
    </xf>
    <xf numFmtId="0" fontId="21" fillId="0" borderId="6" xfId="569" applyFont="1" applyBorder="1" applyAlignment="1">
      <alignment horizontal="center"/>
    </xf>
    <xf numFmtId="0" fontId="14" fillId="0" borderId="4" xfId="569" applyBorder="1" applyAlignment="1">
      <alignment horizontal="center"/>
    </xf>
    <xf numFmtId="0" fontId="14" fillId="0" borderId="5" xfId="569" applyBorder="1" applyAlignment="1">
      <alignment horizontal="center"/>
    </xf>
    <xf numFmtId="176" fontId="14" fillId="5" borderId="3" xfId="569" applyNumberFormat="1" applyFill="1" applyBorder="1" applyAlignment="1" applyProtection="1">
      <alignment horizontal="right"/>
      <protection locked="0"/>
    </xf>
    <xf numFmtId="176" fontId="14" fillId="5" borderId="4" xfId="569" applyNumberFormat="1" applyFill="1" applyBorder="1" applyAlignment="1" applyProtection="1">
      <alignment horizontal="right"/>
      <protection locked="0"/>
    </xf>
    <xf numFmtId="176" fontId="14" fillId="5" borderId="5" xfId="569" applyNumberFormat="1" applyFill="1" applyBorder="1" applyAlignment="1" applyProtection="1">
      <alignment horizontal="right"/>
      <protection locked="0"/>
    </xf>
    <xf numFmtId="0" fontId="105" fillId="0" borderId="0" xfId="569" applyFont="1" applyAlignment="1">
      <alignment horizontal="left" wrapText="1"/>
    </xf>
    <xf numFmtId="168" fontId="14" fillId="0" borderId="3" xfId="569" applyNumberFormat="1" applyBorder="1" applyAlignment="1" applyProtection="1">
      <alignment horizontal="right"/>
      <protection locked="0"/>
    </xf>
    <xf numFmtId="168" fontId="14" fillId="0" borderId="4" xfId="569" applyNumberFormat="1" applyBorder="1" applyAlignment="1" applyProtection="1">
      <alignment horizontal="right"/>
      <protection locked="0"/>
    </xf>
    <xf numFmtId="168" fontId="14" fillId="0" borderId="5" xfId="569" applyNumberFormat="1" applyBorder="1" applyAlignment="1" applyProtection="1">
      <alignment horizontal="right"/>
      <protection locked="0"/>
    </xf>
    <xf numFmtId="0" fontId="21" fillId="0" borderId="11" xfId="569" applyFont="1" applyBorder="1" applyAlignment="1">
      <alignment horizontal="center"/>
    </xf>
    <xf numFmtId="165" fontId="14" fillId="0" borderId="11" xfId="569" applyNumberFormat="1" applyBorder="1" applyAlignment="1" applyProtection="1">
      <alignment horizontal="center"/>
      <protection locked="0"/>
    </xf>
    <xf numFmtId="168" fontId="14" fillId="0" borderId="11" xfId="569" applyNumberFormat="1" applyBorder="1"/>
    <xf numFmtId="168" fontId="14" fillId="0" borderId="3" xfId="569" applyNumberFormat="1" applyBorder="1"/>
    <xf numFmtId="168" fontId="14" fillId="0" borderId="4" xfId="569" applyNumberFormat="1" applyBorder="1"/>
    <xf numFmtId="168" fontId="14" fillId="0" borderId="5" xfId="569" applyNumberFormat="1" applyBorder="1"/>
    <xf numFmtId="168" fontId="14" fillId="0" borderId="11" xfId="569" applyNumberFormat="1" applyBorder="1" applyAlignment="1">
      <alignment wrapText="1"/>
    </xf>
    <xf numFmtId="9" fontId="14" fillId="0" borderId="15" xfId="569" applyNumberFormat="1" applyBorder="1" applyAlignment="1">
      <alignment horizontal="center"/>
    </xf>
    <xf numFmtId="0" fontId="14" fillId="0" borderId="11" xfId="569" applyBorder="1" applyAlignment="1">
      <alignment horizontal="center"/>
    </xf>
    <xf numFmtId="0" fontId="105" fillId="0" borderId="0" xfId="0" applyFont="1" applyAlignment="1">
      <alignment horizontal="left" vertical="top" wrapText="1"/>
    </xf>
    <xf numFmtId="0" fontId="19" fillId="0" borderId="6" xfId="271" applyFont="1" applyBorder="1" applyAlignment="1">
      <alignment horizontal="center"/>
    </xf>
    <xf numFmtId="3" fontId="14" fillId="0" borderId="0" xfId="0" applyNumberFormat="1" applyFont="1" applyAlignment="1">
      <alignment horizontal="left" vertical="top" wrapText="1"/>
    </xf>
    <xf numFmtId="3" fontId="23" fillId="0" borderId="0" xfId="0" applyNumberFormat="1" applyFont="1" applyAlignment="1">
      <alignment horizontal="left" vertical="top" wrapText="1"/>
    </xf>
    <xf numFmtId="0" fontId="14" fillId="43" borderId="0" xfId="0" applyFont="1" applyFill="1" applyAlignment="1">
      <alignment horizontal="left"/>
    </xf>
  </cellXfs>
  <cellStyles count="17170">
    <cellStyle name="20% - Accent1" xfId="1" builtinId="30" customBuiltin="1"/>
    <cellStyle name="20% - Accent1 10" xfId="4505" xr:uid="{00000000-0005-0000-0000-000001000000}"/>
    <cellStyle name="20% - Accent1 10 2" xfId="12947" xr:uid="{7E92CB0C-FD9F-4CD5-BD9D-9439D7E62798}"/>
    <cellStyle name="20% - Accent1 11" xfId="8729" xr:uid="{C5377D96-4708-4205-96DD-3D71D9FCE621}"/>
    <cellStyle name="20% - Accent1 2" xfId="2" xr:uid="{00000000-0005-0000-0000-000002000000}"/>
    <cellStyle name="20% - Accent1 2 10" xfId="8730" xr:uid="{2AF923A6-2CA3-4E65-B553-3379017FEB45}"/>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2 2 2" xfId="15509" xr:uid="{78C46221-EB2F-414B-9B68-63151AF8ABA2}"/>
    <cellStyle name="20% - Accent1 2 2 2 2 2 3" xfId="11291" xr:uid="{29C9C5F4-88A6-4825-BC0E-457934965539}"/>
    <cellStyle name="20% - Accent1 2 2 2 2 3" xfId="4922" xr:uid="{00000000-0005-0000-0000-000008000000}"/>
    <cellStyle name="20% - Accent1 2 2 2 2 3 2" xfId="13364" xr:uid="{DB635F95-539D-47B8-BEB9-2CD19588BF55}"/>
    <cellStyle name="20% - Accent1 2 2 2 2 4" xfId="9146" xr:uid="{C35BF69A-ED10-4009-B1C8-C4CEB8AF0231}"/>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2 2 2" xfId="15922" xr:uid="{626A36D7-016E-457A-91C3-C1890297F801}"/>
    <cellStyle name="20% - Accent1 2 2 2 3 2 3" xfId="11704" xr:uid="{400431F6-518A-40CA-BC25-259175BF6D28}"/>
    <cellStyle name="20% - Accent1 2 2 2 3 3" xfId="5335" xr:uid="{00000000-0005-0000-0000-00000C000000}"/>
    <cellStyle name="20% - Accent1 2 2 2 3 3 2" xfId="13777" xr:uid="{3A23A11A-BC2D-4C69-86B3-093CA37066FB}"/>
    <cellStyle name="20% - Accent1 2 2 2 3 4" xfId="9559" xr:uid="{D591063E-6EBE-4A4C-BB83-693549F3486B}"/>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2 2 2" xfId="16335" xr:uid="{5CEE029B-BFAE-4574-B4B6-3999C6F0E5B4}"/>
    <cellStyle name="20% - Accent1 2 2 2 4 2 3" xfId="12117" xr:uid="{2F3E4D22-2536-4A9B-9B39-91AF7B53FA2F}"/>
    <cellStyle name="20% - Accent1 2 2 2 4 3" xfId="5748" xr:uid="{00000000-0005-0000-0000-000010000000}"/>
    <cellStyle name="20% - Accent1 2 2 2 4 3 2" xfId="14190" xr:uid="{B3206969-3DE0-45A7-97D9-77659E6CF83B}"/>
    <cellStyle name="20% - Accent1 2 2 2 4 4" xfId="9972" xr:uid="{49869D57-DFDE-47B5-ABDB-7E15FC2A9ADB}"/>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2 2 2" xfId="16748" xr:uid="{079285BF-B367-4FA2-BB59-C68919DD1061}"/>
    <cellStyle name="20% - Accent1 2 2 2 5 2 3" xfId="12530" xr:uid="{6E968594-2305-440A-8FB3-E2A92C759466}"/>
    <cellStyle name="20% - Accent1 2 2 2 5 3" xfId="6161" xr:uid="{00000000-0005-0000-0000-000014000000}"/>
    <cellStyle name="20% - Accent1 2 2 2 5 3 2" xfId="14603" xr:uid="{BD629171-E098-4D14-AB27-93EDFDE4B5F2}"/>
    <cellStyle name="20% - Accent1 2 2 2 5 4" xfId="10385" xr:uid="{07CF6244-2D88-439C-8DAA-06B0689146FF}"/>
    <cellStyle name="20% - Accent1 2 2 2 6" xfId="2267" xr:uid="{00000000-0005-0000-0000-000015000000}"/>
    <cellStyle name="20% - Accent1 2 2 2 6 2" xfId="6574" xr:uid="{00000000-0005-0000-0000-000016000000}"/>
    <cellStyle name="20% - Accent1 2 2 2 6 2 2" xfId="15016" xr:uid="{E67863C6-B5B7-4F08-8F40-E246DC189BC1}"/>
    <cellStyle name="20% - Accent1 2 2 2 6 3" xfId="10798" xr:uid="{9668E322-B445-4595-B7BE-2F6D774663B9}"/>
    <cellStyle name="20% - Accent1 2 2 2 7" xfId="4508" xr:uid="{00000000-0005-0000-0000-000017000000}"/>
    <cellStyle name="20% - Accent1 2 2 2 7 2" xfId="12950" xr:uid="{7707F310-0D6A-4B69-9726-17C6AF906AE7}"/>
    <cellStyle name="20% - Accent1 2 2 2 8" xfId="8732" xr:uid="{A657FC56-C206-4940-854A-D05E1C5BA83B}"/>
    <cellStyle name="20% - Accent1 2 2 3" xfId="572" xr:uid="{00000000-0005-0000-0000-000018000000}"/>
    <cellStyle name="20% - Accent1 2 2 3 2" xfId="2843" xr:uid="{00000000-0005-0000-0000-000019000000}"/>
    <cellStyle name="20% - Accent1 2 2 3 2 2" xfId="7066" xr:uid="{00000000-0005-0000-0000-00001A000000}"/>
    <cellStyle name="20% - Accent1 2 2 3 2 2 2" xfId="15508" xr:uid="{05F0D42B-2C3F-48DA-8377-EC32FFF30764}"/>
    <cellStyle name="20% - Accent1 2 2 3 2 3" xfId="11290" xr:uid="{B9AC11E5-91DB-4863-9893-D0B8A02C4BC3}"/>
    <cellStyle name="20% - Accent1 2 2 3 3" xfId="4921" xr:uid="{00000000-0005-0000-0000-00001B000000}"/>
    <cellStyle name="20% - Accent1 2 2 3 3 2" xfId="13363" xr:uid="{C5A5E888-0489-4978-ACAD-947029B1446E}"/>
    <cellStyle name="20% - Accent1 2 2 3 4" xfId="9145" xr:uid="{3A9F3AAF-9EDD-40E2-954D-7FFDD59540CD}"/>
    <cellStyle name="20% - Accent1 2 2 4" xfId="1025" xr:uid="{00000000-0005-0000-0000-00001C000000}"/>
    <cellStyle name="20% - Accent1 2 2 4 2" xfId="3256" xr:uid="{00000000-0005-0000-0000-00001D000000}"/>
    <cellStyle name="20% - Accent1 2 2 4 2 2" xfId="7479" xr:uid="{00000000-0005-0000-0000-00001E000000}"/>
    <cellStyle name="20% - Accent1 2 2 4 2 2 2" xfId="15921" xr:uid="{DCBA5ED0-5103-479C-B8E4-05B2979E8576}"/>
    <cellStyle name="20% - Accent1 2 2 4 2 3" xfId="11703" xr:uid="{6181C0D3-814A-4002-AF8E-273324931166}"/>
    <cellStyle name="20% - Accent1 2 2 4 3" xfId="5334" xr:uid="{00000000-0005-0000-0000-00001F000000}"/>
    <cellStyle name="20% - Accent1 2 2 4 3 2" xfId="13776" xr:uid="{BF2EAB46-AC52-4F8E-B0B2-7664F1E3AE28}"/>
    <cellStyle name="20% - Accent1 2 2 4 4" xfId="9558" xr:uid="{069F484E-6CDB-4B54-9413-6C141808E5A1}"/>
    <cellStyle name="20% - Accent1 2 2 5" xfId="1439" xr:uid="{00000000-0005-0000-0000-000020000000}"/>
    <cellStyle name="20% - Accent1 2 2 5 2" xfId="3669" xr:uid="{00000000-0005-0000-0000-000021000000}"/>
    <cellStyle name="20% - Accent1 2 2 5 2 2" xfId="7892" xr:uid="{00000000-0005-0000-0000-000022000000}"/>
    <cellStyle name="20% - Accent1 2 2 5 2 2 2" xfId="16334" xr:uid="{FCBFC516-6274-4B68-86BC-18FD468194CC}"/>
    <cellStyle name="20% - Accent1 2 2 5 2 3" xfId="12116" xr:uid="{498CBCC6-D0D7-48F8-91C7-CE1B6FFDE539}"/>
    <cellStyle name="20% - Accent1 2 2 5 3" xfId="5747" xr:uid="{00000000-0005-0000-0000-000023000000}"/>
    <cellStyle name="20% - Accent1 2 2 5 3 2" xfId="14189" xr:uid="{5E417957-9E06-4295-96C8-2D8C115F545C}"/>
    <cellStyle name="20% - Accent1 2 2 5 4" xfId="9971" xr:uid="{B0B00524-A5DC-44D1-9602-62BE8E740823}"/>
    <cellStyle name="20% - Accent1 2 2 6" xfId="1853" xr:uid="{00000000-0005-0000-0000-000024000000}"/>
    <cellStyle name="20% - Accent1 2 2 6 2" xfId="4082" xr:uid="{00000000-0005-0000-0000-000025000000}"/>
    <cellStyle name="20% - Accent1 2 2 6 2 2" xfId="8305" xr:uid="{00000000-0005-0000-0000-000026000000}"/>
    <cellStyle name="20% - Accent1 2 2 6 2 2 2" xfId="16747" xr:uid="{EB8A6D9C-D38C-4FFD-BA2E-7C248BABE94F}"/>
    <cellStyle name="20% - Accent1 2 2 6 2 3" xfId="12529" xr:uid="{BEBD3DC3-F805-4266-B4C3-E4867BE3DBB0}"/>
    <cellStyle name="20% - Accent1 2 2 6 3" xfId="6160" xr:uid="{00000000-0005-0000-0000-000027000000}"/>
    <cellStyle name="20% - Accent1 2 2 6 3 2" xfId="14602" xr:uid="{AED01D07-0855-4987-BBD1-C4769C737829}"/>
    <cellStyle name="20% - Accent1 2 2 6 4" xfId="10384" xr:uid="{C3626786-1FCC-46A3-8B0F-A37CA1971E41}"/>
    <cellStyle name="20% - Accent1 2 2 7" xfId="2266" xr:uid="{00000000-0005-0000-0000-000028000000}"/>
    <cellStyle name="20% - Accent1 2 2 7 2" xfId="6573" xr:uid="{00000000-0005-0000-0000-000029000000}"/>
    <cellStyle name="20% - Accent1 2 2 7 2 2" xfId="15015" xr:uid="{09BB2E53-C663-4A1B-91C7-FFF2A0D5AC18}"/>
    <cellStyle name="20% - Accent1 2 2 7 3" xfId="10797" xr:uid="{CB51E79A-5454-4E99-92DF-E7BCD429EF42}"/>
    <cellStyle name="20% - Accent1 2 2 8" xfId="4507" xr:uid="{00000000-0005-0000-0000-00002A000000}"/>
    <cellStyle name="20% - Accent1 2 2 8 2" xfId="12949" xr:uid="{BA11BEEF-3948-4622-83BB-CBA08E4B562B}"/>
    <cellStyle name="20% - Accent1 2 2 9" xfId="8731" xr:uid="{2770F0A2-E847-49FA-95A6-74018E53C20B}"/>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2 2 2" xfId="15510" xr:uid="{3B3CEDD6-5002-4325-B8E9-7831CB1B85DB}"/>
    <cellStyle name="20% - Accent1 2 3 2 2 3" xfId="11292" xr:uid="{B4B6F919-5E65-4491-AB45-8DC4B3FCB805}"/>
    <cellStyle name="20% - Accent1 2 3 2 3" xfId="4923" xr:uid="{00000000-0005-0000-0000-00002F000000}"/>
    <cellStyle name="20% - Accent1 2 3 2 3 2" xfId="13365" xr:uid="{1B7D2F14-37B4-4825-85F5-1F17C0682B27}"/>
    <cellStyle name="20% - Accent1 2 3 2 4" xfId="9147" xr:uid="{89179F85-D8DB-4F97-8D6C-CB9D3B0D54A6}"/>
    <cellStyle name="20% - Accent1 2 3 3" xfId="1027" xr:uid="{00000000-0005-0000-0000-000030000000}"/>
    <cellStyle name="20% - Accent1 2 3 3 2" xfId="3258" xr:uid="{00000000-0005-0000-0000-000031000000}"/>
    <cellStyle name="20% - Accent1 2 3 3 2 2" xfId="7481" xr:uid="{00000000-0005-0000-0000-000032000000}"/>
    <cellStyle name="20% - Accent1 2 3 3 2 2 2" xfId="15923" xr:uid="{B20CEEC9-6DDE-4D4C-B3C6-A1DEE8F96B9F}"/>
    <cellStyle name="20% - Accent1 2 3 3 2 3" xfId="11705" xr:uid="{BF4E5633-F345-4AF6-A7E6-2AFD0424AB74}"/>
    <cellStyle name="20% - Accent1 2 3 3 3" xfId="5336" xr:uid="{00000000-0005-0000-0000-000033000000}"/>
    <cellStyle name="20% - Accent1 2 3 3 3 2" xfId="13778" xr:uid="{C545D728-B7B6-4828-AF7D-6A1CF2C8FD59}"/>
    <cellStyle name="20% - Accent1 2 3 3 4" xfId="9560" xr:uid="{10C2B745-3693-448C-99E0-837A1322616C}"/>
    <cellStyle name="20% - Accent1 2 3 4" xfId="1441" xr:uid="{00000000-0005-0000-0000-000034000000}"/>
    <cellStyle name="20% - Accent1 2 3 4 2" xfId="3671" xr:uid="{00000000-0005-0000-0000-000035000000}"/>
    <cellStyle name="20% - Accent1 2 3 4 2 2" xfId="7894" xr:uid="{00000000-0005-0000-0000-000036000000}"/>
    <cellStyle name="20% - Accent1 2 3 4 2 2 2" xfId="16336" xr:uid="{B6B913C5-245E-4741-8FC9-6D1508C2FF55}"/>
    <cellStyle name="20% - Accent1 2 3 4 2 3" xfId="12118" xr:uid="{D2565129-17F4-4D3F-AFA5-DA2238101709}"/>
    <cellStyle name="20% - Accent1 2 3 4 3" xfId="5749" xr:uid="{00000000-0005-0000-0000-000037000000}"/>
    <cellStyle name="20% - Accent1 2 3 4 3 2" xfId="14191" xr:uid="{809051CB-0B01-43D4-9598-B1A28C28E225}"/>
    <cellStyle name="20% - Accent1 2 3 4 4" xfId="9973" xr:uid="{2A977D63-204E-4214-9F6D-EB70E47C41FA}"/>
    <cellStyle name="20% - Accent1 2 3 5" xfId="1855" xr:uid="{00000000-0005-0000-0000-000038000000}"/>
    <cellStyle name="20% - Accent1 2 3 5 2" xfId="4084" xr:uid="{00000000-0005-0000-0000-000039000000}"/>
    <cellStyle name="20% - Accent1 2 3 5 2 2" xfId="8307" xr:uid="{00000000-0005-0000-0000-00003A000000}"/>
    <cellStyle name="20% - Accent1 2 3 5 2 2 2" xfId="16749" xr:uid="{452AA4F1-8452-4043-A914-E58A7D19EFAF}"/>
    <cellStyle name="20% - Accent1 2 3 5 2 3" xfId="12531" xr:uid="{9F1760B1-84EC-4850-9638-983F6A406B91}"/>
    <cellStyle name="20% - Accent1 2 3 5 3" xfId="6162" xr:uid="{00000000-0005-0000-0000-00003B000000}"/>
    <cellStyle name="20% - Accent1 2 3 5 3 2" xfId="14604" xr:uid="{18053CF8-A226-4AB2-8D2B-B48D6605ABBF}"/>
    <cellStyle name="20% - Accent1 2 3 5 4" xfId="10386" xr:uid="{FEC5D166-EF5A-41BB-8F2F-C17398AAD59F}"/>
    <cellStyle name="20% - Accent1 2 3 6" xfId="2268" xr:uid="{00000000-0005-0000-0000-00003C000000}"/>
    <cellStyle name="20% - Accent1 2 3 6 2" xfId="6575" xr:uid="{00000000-0005-0000-0000-00003D000000}"/>
    <cellStyle name="20% - Accent1 2 3 6 2 2" xfId="15017" xr:uid="{BA4F656C-F7EF-4C38-B9DC-FBDFBA5699C0}"/>
    <cellStyle name="20% - Accent1 2 3 6 3" xfId="10799" xr:uid="{C53309F7-0363-46BC-8E4D-CC306D04E687}"/>
    <cellStyle name="20% - Accent1 2 3 7" xfId="4509" xr:uid="{00000000-0005-0000-0000-00003E000000}"/>
    <cellStyle name="20% - Accent1 2 3 7 2" xfId="12951" xr:uid="{7DAC7A57-0738-4A9E-8C77-A00257D810BA}"/>
    <cellStyle name="20% - Accent1 2 3 8" xfId="8733" xr:uid="{911DE3C9-8731-4D0E-960A-EEF4CA73E88D}"/>
    <cellStyle name="20% - Accent1 2 4" xfId="571" xr:uid="{00000000-0005-0000-0000-00003F000000}"/>
    <cellStyle name="20% - Accent1 2 4 2" xfId="2842" xr:uid="{00000000-0005-0000-0000-000040000000}"/>
    <cellStyle name="20% - Accent1 2 4 2 2" xfId="7065" xr:uid="{00000000-0005-0000-0000-000041000000}"/>
    <cellStyle name="20% - Accent1 2 4 2 2 2" xfId="15507" xr:uid="{A5F93D6A-6CC0-484D-966F-9433B1F02193}"/>
    <cellStyle name="20% - Accent1 2 4 2 3" xfId="11289" xr:uid="{49FB8C4B-794B-4E0E-AF05-D3CAB8B22440}"/>
    <cellStyle name="20% - Accent1 2 4 3" xfId="4920" xr:uid="{00000000-0005-0000-0000-000042000000}"/>
    <cellStyle name="20% - Accent1 2 4 3 2" xfId="13362" xr:uid="{1965C342-8004-4717-9C65-D9F2246E2A6A}"/>
    <cellStyle name="20% - Accent1 2 4 4" xfId="9144" xr:uid="{6824C683-A916-4DF0-9CAC-D5112B01766A}"/>
    <cellStyle name="20% - Accent1 2 5" xfId="1024" xr:uid="{00000000-0005-0000-0000-000043000000}"/>
    <cellStyle name="20% - Accent1 2 5 2" xfId="3255" xr:uid="{00000000-0005-0000-0000-000044000000}"/>
    <cellStyle name="20% - Accent1 2 5 2 2" xfId="7478" xr:uid="{00000000-0005-0000-0000-000045000000}"/>
    <cellStyle name="20% - Accent1 2 5 2 2 2" xfId="15920" xr:uid="{9D5BAFC0-65EB-4DAF-A438-A1265C8F054B}"/>
    <cellStyle name="20% - Accent1 2 5 2 3" xfId="11702" xr:uid="{849F4BA7-12DC-47AF-BF5E-E0F2708209EF}"/>
    <cellStyle name="20% - Accent1 2 5 3" xfId="5333" xr:uid="{00000000-0005-0000-0000-000046000000}"/>
    <cellStyle name="20% - Accent1 2 5 3 2" xfId="13775" xr:uid="{03D45DDC-1DA2-4109-A34B-5BBE6CF7719C}"/>
    <cellStyle name="20% - Accent1 2 5 4" xfId="9557" xr:uid="{A6B81BC2-A7AC-41F6-888D-D5DC39CFBF15}"/>
    <cellStyle name="20% - Accent1 2 6" xfId="1438" xr:uid="{00000000-0005-0000-0000-000047000000}"/>
    <cellStyle name="20% - Accent1 2 6 2" xfId="3668" xr:uid="{00000000-0005-0000-0000-000048000000}"/>
    <cellStyle name="20% - Accent1 2 6 2 2" xfId="7891" xr:uid="{00000000-0005-0000-0000-000049000000}"/>
    <cellStyle name="20% - Accent1 2 6 2 2 2" xfId="16333" xr:uid="{EAE3D8FF-B513-477F-B15F-8CF5E8EBF1E1}"/>
    <cellStyle name="20% - Accent1 2 6 2 3" xfId="12115" xr:uid="{338CE739-22D2-4FA8-9DF9-CB6763708DAB}"/>
    <cellStyle name="20% - Accent1 2 6 3" xfId="5746" xr:uid="{00000000-0005-0000-0000-00004A000000}"/>
    <cellStyle name="20% - Accent1 2 6 3 2" xfId="14188" xr:uid="{6A5FB4E1-053E-4A0E-B8C7-06EB897B676E}"/>
    <cellStyle name="20% - Accent1 2 6 4" xfId="9970" xr:uid="{13624B8C-220A-4E24-BC88-8E8A6A125AE3}"/>
    <cellStyle name="20% - Accent1 2 7" xfId="1852" xr:uid="{00000000-0005-0000-0000-00004B000000}"/>
    <cellStyle name="20% - Accent1 2 7 2" xfId="4081" xr:uid="{00000000-0005-0000-0000-00004C000000}"/>
    <cellStyle name="20% - Accent1 2 7 2 2" xfId="8304" xr:uid="{00000000-0005-0000-0000-00004D000000}"/>
    <cellStyle name="20% - Accent1 2 7 2 2 2" xfId="16746" xr:uid="{6CB66266-926C-4BBE-872F-3170B09BB628}"/>
    <cellStyle name="20% - Accent1 2 7 2 3" xfId="12528" xr:uid="{C3FF47CC-FFDC-44F6-91E7-B8872E482717}"/>
    <cellStyle name="20% - Accent1 2 7 3" xfId="6159" xr:uid="{00000000-0005-0000-0000-00004E000000}"/>
    <cellStyle name="20% - Accent1 2 7 3 2" xfId="14601" xr:uid="{1AD47507-3ED5-4C8A-8A74-3ABA780A4A2E}"/>
    <cellStyle name="20% - Accent1 2 7 4" xfId="10383" xr:uid="{348FCD77-371C-4CB8-BFEE-86AFB5B849FA}"/>
    <cellStyle name="20% - Accent1 2 8" xfId="2265" xr:uid="{00000000-0005-0000-0000-00004F000000}"/>
    <cellStyle name="20% - Accent1 2 8 2" xfId="6572" xr:uid="{00000000-0005-0000-0000-000050000000}"/>
    <cellStyle name="20% - Accent1 2 8 2 2" xfId="15014" xr:uid="{98E983BC-8A2D-45CB-93FF-2D9ACE2CA69D}"/>
    <cellStyle name="20% - Accent1 2 8 3" xfId="10796" xr:uid="{017C4C8B-6429-4977-B764-8479882DFF6B}"/>
    <cellStyle name="20% - Accent1 2 9" xfId="4506" xr:uid="{00000000-0005-0000-0000-000051000000}"/>
    <cellStyle name="20% - Accent1 2 9 2" xfId="12948" xr:uid="{2DD41E5B-1AC2-4BAE-B087-B492F748E681}"/>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2 2 2" xfId="15512" xr:uid="{D1D15A6C-0CA0-48A3-91B2-597B9B152499}"/>
    <cellStyle name="20% - Accent1 3 2 2 2 3" xfId="11294" xr:uid="{F22508AD-CDB7-451C-AC5C-00E1D0AEDB4B}"/>
    <cellStyle name="20% - Accent1 3 2 2 3" xfId="4925" xr:uid="{00000000-0005-0000-0000-000057000000}"/>
    <cellStyle name="20% - Accent1 3 2 2 3 2" xfId="13367" xr:uid="{8D6FCE17-7CBB-4C69-89C7-25764EE1904E}"/>
    <cellStyle name="20% - Accent1 3 2 2 4" xfId="9149" xr:uid="{D316D4CE-7923-4E1E-A6E7-FA4B8C66CB21}"/>
    <cellStyle name="20% - Accent1 3 2 3" xfId="1029" xr:uid="{00000000-0005-0000-0000-000058000000}"/>
    <cellStyle name="20% - Accent1 3 2 3 2" xfId="3260" xr:uid="{00000000-0005-0000-0000-000059000000}"/>
    <cellStyle name="20% - Accent1 3 2 3 2 2" xfId="7483" xr:uid="{00000000-0005-0000-0000-00005A000000}"/>
    <cellStyle name="20% - Accent1 3 2 3 2 2 2" xfId="15925" xr:uid="{E8F377EC-DC19-4176-88DE-7107A7D2E255}"/>
    <cellStyle name="20% - Accent1 3 2 3 2 3" xfId="11707" xr:uid="{12AC9BF8-8074-4CF3-BA9B-94BD717E12EF}"/>
    <cellStyle name="20% - Accent1 3 2 3 3" xfId="5338" xr:uid="{00000000-0005-0000-0000-00005B000000}"/>
    <cellStyle name="20% - Accent1 3 2 3 3 2" xfId="13780" xr:uid="{F8C0EF86-FAD9-4695-94FF-6DC56C7E3B90}"/>
    <cellStyle name="20% - Accent1 3 2 3 4" xfId="9562" xr:uid="{9D5D5616-0860-45E2-866A-6B416B4EB972}"/>
    <cellStyle name="20% - Accent1 3 2 4" xfId="1443" xr:uid="{00000000-0005-0000-0000-00005C000000}"/>
    <cellStyle name="20% - Accent1 3 2 4 2" xfId="3673" xr:uid="{00000000-0005-0000-0000-00005D000000}"/>
    <cellStyle name="20% - Accent1 3 2 4 2 2" xfId="7896" xr:uid="{00000000-0005-0000-0000-00005E000000}"/>
    <cellStyle name="20% - Accent1 3 2 4 2 2 2" xfId="16338" xr:uid="{DF942310-87C9-4C6C-918A-C75CF226606E}"/>
    <cellStyle name="20% - Accent1 3 2 4 2 3" xfId="12120" xr:uid="{08F379CD-B1AB-4E58-BFD8-C40B42A2F638}"/>
    <cellStyle name="20% - Accent1 3 2 4 3" xfId="5751" xr:uid="{00000000-0005-0000-0000-00005F000000}"/>
    <cellStyle name="20% - Accent1 3 2 4 3 2" xfId="14193" xr:uid="{B64D0B2F-85EB-4FD5-8EA5-B98821ED1D5D}"/>
    <cellStyle name="20% - Accent1 3 2 4 4" xfId="9975" xr:uid="{CDEEEBC7-D390-465C-BFE2-B7F8E995C13A}"/>
    <cellStyle name="20% - Accent1 3 2 5" xfId="1857" xr:uid="{00000000-0005-0000-0000-000060000000}"/>
    <cellStyle name="20% - Accent1 3 2 5 2" xfId="4086" xr:uid="{00000000-0005-0000-0000-000061000000}"/>
    <cellStyle name="20% - Accent1 3 2 5 2 2" xfId="8309" xr:uid="{00000000-0005-0000-0000-000062000000}"/>
    <cellStyle name="20% - Accent1 3 2 5 2 2 2" xfId="16751" xr:uid="{CDAE8BA7-D511-40D9-AA81-2A1A6604B716}"/>
    <cellStyle name="20% - Accent1 3 2 5 2 3" xfId="12533" xr:uid="{CA77FF70-6CF0-4FFF-90BA-8D4BFE7F05B2}"/>
    <cellStyle name="20% - Accent1 3 2 5 3" xfId="6164" xr:uid="{00000000-0005-0000-0000-000063000000}"/>
    <cellStyle name="20% - Accent1 3 2 5 3 2" xfId="14606" xr:uid="{4B00AD85-EAA7-41E0-B3DE-1222847DA3B1}"/>
    <cellStyle name="20% - Accent1 3 2 5 4" xfId="10388" xr:uid="{959F58C0-97DA-423B-80B3-6885058B5EBB}"/>
    <cellStyle name="20% - Accent1 3 2 6" xfId="2270" xr:uid="{00000000-0005-0000-0000-000064000000}"/>
    <cellStyle name="20% - Accent1 3 2 6 2" xfId="6577" xr:uid="{00000000-0005-0000-0000-000065000000}"/>
    <cellStyle name="20% - Accent1 3 2 6 2 2" xfId="15019" xr:uid="{AA40A029-FA42-4AC5-952C-F25A42786CEA}"/>
    <cellStyle name="20% - Accent1 3 2 6 3" xfId="10801" xr:uid="{62EF876E-3FCB-404C-A0A7-12444CB2F6F1}"/>
    <cellStyle name="20% - Accent1 3 2 7" xfId="4511" xr:uid="{00000000-0005-0000-0000-000066000000}"/>
    <cellStyle name="20% - Accent1 3 2 7 2" xfId="12953" xr:uid="{BEB28336-DECC-4538-BE40-30707917FE92}"/>
    <cellStyle name="20% - Accent1 3 2 8" xfId="8735" xr:uid="{68223364-2CA4-40A8-816F-F3CC5FDCD5C1}"/>
    <cellStyle name="20% - Accent1 3 3" xfId="575" xr:uid="{00000000-0005-0000-0000-000067000000}"/>
    <cellStyle name="20% - Accent1 3 3 2" xfId="2846" xr:uid="{00000000-0005-0000-0000-000068000000}"/>
    <cellStyle name="20% - Accent1 3 3 2 2" xfId="7069" xr:uid="{00000000-0005-0000-0000-000069000000}"/>
    <cellStyle name="20% - Accent1 3 3 2 2 2" xfId="15511" xr:uid="{197A3E38-913A-471A-ABCE-A8106837735F}"/>
    <cellStyle name="20% - Accent1 3 3 2 3" xfId="11293" xr:uid="{A4349E5B-A734-4F96-83C1-E510E6166E8C}"/>
    <cellStyle name="20% - Accent1 3 3 3" xfId="4924" xr:uid="{00000000-0005-0000-0000-00006A000000}"/>
    <cellStyle name="20% - Accent1 3 3 3 2" xfId="13366" xr:uid="{AAD2E240-C4E6-432F-A5F8-8D86637D0E3C}"/>
    <cellStyle name="20% - Accent1 3 3 4" xfId="9148" xr:uid="{77978463-1355-42B3-B2BC-A0B6B53D4495}"/>
    <cellStyle name="20% - Accent1 3 4" xfId="1028" xr:uid="{00000000-0005-0000-0000-00006B000000}"/>
    <cellStyle name="20% - Accent1 3 4 2" xfId="3259" xr:uid="{00000000-0005-0000-0000-00006C000000}"/>
    <cellStyle name="20% - Accent1 3 4 2 2" xfId="7482" xr:uid="{00000000-0005-0000-0000-00006D000000}"/>
    <cellStyle name="20% - Accent1 3 4 2 2 2" xfId="15924" xr:uid="{ED327984-0805-4F84-9897-DF4C4E2A3EBF}"/>
    <cellStyle name="20% - Accent1 3 4 2 3" xfId="11706" xr:uid="{A0C43777-E190-4997-833B-E97FFA092C89}"/>
    <cellStyle name="20% - Accent1 3 4 3" xfId="5337" xr:uid="{00000000-0005-0000-0000-00006E000000}"/>
    <cellStyle name="20% - Accent1 3 4 3 2" xfId="13779" xr:uid="{99A84CE3-EC95-4609-8E07-62E4C48B8BB0}"/>
    <cellStyle name="20% - Accent1 3 4 4" xfId="9561" xr:uid="{563C107B-9162-4468-9C9B-671AF348CDEA}"/>
    <cellStyle name="20% - Accent1 3 5" xfId="1442" xr:uid="{00000000-0005-0000-0000-00006F000000}"/>
    <cellStyle name="20% - Accent1 3 5 2" xfId="3672" xr:uid="{00000000-0005-0000-0000-000070000000}"/>
    <cellStyle name="20% - Accent1 3 5 2 2" xfId="7895" xr:uid="{00000000-0005-0000-0000-000071000000}"/>
    <cellStyle name="20% - Accent1 3 5 2 2 2" xfId="16337" xr:uid="{5AA6BD71-39DA-4B97-BB89-F863B990324C}"/>
    <cellStyle name="20% - Accent1 3 5 2 3" xfId="12119" xr:uid="{974873C5-52FC-418A-8580-77972B51ADD3}"/>
    <cellStyle name="20% - Accent1 3 5 3" xfId="5750" xr:uid="{00000000-0005-0000-0000-000072000000}"/>
    <cellStyle name="20% - Accent1 3 5 3 2" xfId="14192" xr:uid="{16177ED8-A48D-4C86-B78D-5E596985D303}"/>
    <cellStyle name="20% - Accent1 3 5 4" xfId="9974" xr:uid="{5FFD083F-399E-4B39-9681-4CD6DEB7F422}"/>
    <cellStyle name="20% - Accent1 3 6" xfId="1856" xr:uid="{00000000-0005-0000-0000-000073000000}"/>
    <cellStyle name="20% - Accent1 3 6 2" xfId="4085" xr:uid="{00000000-0005-0000-0000-000074000000}"/>
    <cellStyle name="20% - Accent1 3 6 2 2" xfId="8308" xr:uid="{00000000-0005-0000-0000-000075000000}"/>
    <cellStyle name="20% - Accent1 3 6 2 2 2" xfId="16750" xr:uid="{8A054C4E-CCA7-4120-82FD-485B2019811C}"/>
    <cellStyle name="20% - Accent1 3 6 2 3" xfId="12532" xr:uid="{BB836C9C-5A5F-4A7D-B4D9-B31CE3301B26}"/>
    <cellStyle name="20% - Accent1 3 6 3" xfId="6163" xr:uid="{00000000-0005-0000-0000-000076000000}"/>
    <cellStyle name="20% - Accent1 3 6 3 2" xfId="14605" xr:uid="{97A4691C-8E5B-4FF4-9A55-D3C960C723D9}"/>
    <cellStyle name="20% - Accent1 3 6 4" xfId="10387" xr:uid="{E4874007-DE79-4CEC-90E0-C2A8D216DC69}"/>
    <cellStyle name="20% - Accent1 3 7" xfId="2269" xr:uid="{00000000-0005-0000-0000-000077000000}"/>
    <cellStyle name="20% - Accent1 3 7 2" xfId="6576" xr:uid="{00000000-0005-0000-0000-000078000000}"/>
    <cellStyle name="20% - Accent1 3 7 2 2" xfId="15018" xr:uid="{6739A19A-2740-418C-B197-A11D680B96ED}"/>
    <cellStyle name="20% - Accent1 3 7 3" xfId="10800" xr:uid="{16C03D5B-75E8-4B44-9A30-021C122F0A1D}"/>
    <cellStyle name="20% - Accent1 3 8" xfId="4510" xr:uid="{00000000-0005-0000-0000-000079000000}"/>
    <cellStyle name="20% - Accent1 3 8 2" xfId="12952" xr:uid="{B76CEFDD-8AB0-458C-89E1-FF7FF63EC623}"/>
    <cellStyle name="20% - Accent1 3 9" xfId="8734" xr:uid="{C55E37E8-F839-4967-BC38-028AC6E4F765}"/>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2 2 2" xfId="15513" xr:uid="{780AFD8C-D075-4A96-A722-0A4A8A4A21EF}"/>
    <cellStyle name="20% - Accent1 4 2 2 3" xfId="11295" xr:uid="{65E49F0B-FC74-426A-80B4-D34DD61619FD}"/>
    <cellStyle name="20% - Accent1 4 2 3" xfId="4926" xr:uid="{00000000-0005-0000-0000-00007E000000}"/>
    <cellStyle name="20% - Accent1 4 2 3 2" xfId="13368" xr:uid="{C45E9A3F-6A4F-4AE5-A620-9EAAF24A3A57}"/>
    <cellStyle name="20% - Accent1 4 2 4" xfId="9150" xr:uid="{77F44CB1-BB7A-436B-A6C2-DAB8DC200738}"/>
    <cellStyle name="20% - Accent1 4 3" xfId="1030" xr:uid="{00000000-0005-0000-0000-00007F000000}"/>
    <cellStyle name="20% - Accent1 4 3 2" xfId="3261" xr:uid="{00000000-0005-0000-0000-000080000000}"/>
    <cellStyle name="20% - Accent1 4 3 2 2" xfId="7484" xr:uid="{00000000-0005-0000-0000-000081000000}"/>
    <cellStyle name="20% - Accent1 4 3 2 2 2" xfId="15926" xr:uid="{6B102051-323A-49D3-A230-52ACF8D0CE03}"/>
    <cellStyle name="20% - Accent1 4 3 2 3" xfId="11708" xr:uid="{28091504-BA15-4695-8367-3008FF57641F}"/>
    <cellStyle name="20% - Accent1 4 3 3" xfId="5339" xr:uid="{00000000-0005-0000-0000-000082000000}"/>
    <cellStyle name="20% - Accent1 4 3 3 2" xfId="13781" xr:uid="{30DD3D5D-BB46-443C-8C8D-6F0CBB827CA6}"/>
    <cellStyle name="20% - Accent1 4 3 4" xfId="9563" xr:uid="{10644ACA-8AEF-4131-8C19-9F92BCF1915F}"/>
    <cellStyle name="20% - Accent1 4 4" xfId="1444" xr:uid="{00000000-0005-0000-0000-000083000000}"/>
    <cellStyle name="20% - Accent1 4 4 2" xfId="3674" xr:uid="{00000000-0005-0000-0000-000084000000}"/>
    <cellStyle name="20% - Accent1 4 4 2 2" xfId="7897" xr:uid="{00000000-0005-0000-0000-000085000000}"/>
    <cellStyle name="20% - Accent1 4 4 2 2 2" xfId="16339" xr:uid="{6BBEA555-7AA1-4548-9528-0143C74D19FA}"/>
    <cellStyle name="20% - Accent1 4 4 2 3" xfId="12121" xr:uid="{0FDEBA0A-856F-4501-ACD8-6B0985CCB473}"/>
    <cellStyle name="20% - Accent1 4 4 3" xfId="5752" xr:uid="{00000000-0005-0000-0000-000086000000}"/>
    <cellStyle name="20% - Accent1 4 4 3 2" xfId="14194" xr:uid="{FC8CAEDA-F356-4F8A-BEBE-B6E6469B0F47}"/>
    <cellStyle name="20% - Accent1 4 4 4" xfId="9976" xr:uid="{56DE25AC-CE8C-4DD6-98D7-533CE25A543F}"/>
    <cellStyle name="20% - Accent1 4 5" xfId="1858" xr:uid="{00000000-0005-0000-0000-000087000000}"/>
    <cellStyle name="20% - Accent1 4 5 2" xfId="4087" xr:uid="{00000000-0005-0000-0000-000088000000}"/>
    <cellStyle name="20% - Accent1 4 5 2 2" xfId="8310" xr:uid="{00000000-0005-0000-0000-000089000000}"/>
    <cellStyle name="20% - Accent1 4 5 2 2 2" xfId="16752" xr:uid="{AEC32FEE-3B3A-4579-894A-CB7C49F7C547}"/>
    <cellStyle name="20% - Accent1 4 5 2 3" xfId="12534" xr:uid="{5AAF0D30-E1DA-4443-9C7F-2D930B82F568}"/>
    <cellStyle name="20% - Accent1 4 5 3" xfId="6165" xr:uid="{00000000-0005-0000-0000-00008A000000}"/>
    <cellStyle name="20% - Accent1 4 5 3 2" xfId="14607" xr:uid="{F38FDD5F-BF88-41B8-9954-60FC68780B65}"/>
    <cellStyle name="20% - Accent1 4 5 4" xfId="10389" xr:uid="{57767FAC-AE69-4D3E-AF24-20818DE4E579}"/>
    <cellStyle name="20% - Accent1 4 6" xfId="2271" xr:uid="{00000000-0005-0000-0000-00008B000000}"/>
    <cellStyle name="20% - Accent1 4 6 2" xfId="6578" xr:uid="{00000000-0005-0000-0000-00008C000000}"/>
    <cellStyle name="20% - Accent1 4 6 2 2" xfId="15020" xr:uid="{89D2B39A-E7B0-47BA-9303-E8398AE1B2B0}"/>
    <cellStyle name="20% - Accent1 4 6 3" xfId="10802" xr:uid="{310E312A-3422-44FA-AD51-DD144B360673}"/>
    <cellStyle name="20% - Accent1 4 7" xfId="4512" xr:uid="{00000000-0005-0000-0000-00008D000000}"/>
    <cellStyle name="20% - Accent1 4 7 2" xfId="12954" xr:uid="{F3FC2BF9-BE18-442B-80B4-54EDAC997341}"/>
    <cellStyle name="20% - Accent1 4 8" xfId="8736" xr:uid="{4DD64BA4-95F1-447A-AFE6-05A545F8378D}"/>
    <cellStyle name="20% - Accent1 5" xfId="570" xr:uid="{00000000-0005-0000-0000-00008E000000}"/>
    <cellStyle name="20% - Accent1 5 2" xfId="2841" xr:uid="{00000000-0005-0000-0000-00008F000000}"/>
    <cellStyle name="20% - Accent1 5 2 2" xfId="7064" xr:uid="{00000000-0005-0000-0000-000090000000}"/>
    <cellStyle name="20% - Accent1 5 2 2 2" xfId="15506" xr:uid="{3949E9CD-E56C-4D7D-B30F-182B6E996925}"/>
    <cellStyle name="20% - Accent1 5 2 3" xfId="11288" xr:uid="{B985DF6D-A11C-402C-A06A-21EA477CBAF1}"/>
    <cellStyle name="20% - Accent1 5 3" xfId="4919" xr:uid="{00000000-0005-0000-0000-000091000000}"/>
    <cellStyle name="20% - Accent1 5 3 2" xfId="13361" xr:uid="{7C74E4F5-D7F6-4FD9-BB02-012219555E32}"/>
    <cellStyle name="20% - Accent1 5 4" xfId="9143" xr:uid="{33735F63-60E1-4252-A4A2-8D74A200766A}"/>
    <cellStyle name="20% - Accent1 6" xfId="1023" xr:uid="{00000000-0005-0000-0000-000092000000}"/>
    <cellStyle name="20% - Accent1 6 2" xfId="3254" xr:uid="{00000000-0005-0000-0000-000093000000}"/>
    <cellStyle name="20% - Accent1 6 2 2" xfId="7477" xr:uid="{00000000-0005-0000-0000-000094000000}"/>
    <cellStyle name="20% - Accent1 6 2 2 2" xfId="15919" xr:uid="{0F012A9D-30CA-4302-B380-83DBE12B669A}"/>
    <cellStyle name="20% - Accent1 6 2 3" xfId="11701" xr:uid="{AAC64776-C75A-4934-9B22-4B8F01BE8C19}"/>
    <cellStyle name="20% - Accent1 6 3" xfId="5332" xr:uid="{00000000-0005-0000-0000-000095000000}"/>
    <cellStyle name="20% - Accent1 6 3 2" xfId="13774" xr:uid="{4F45578F-332A-4E78-8B66-9BE2AC2F40C6}"/>
    <cellStyle name="20% - Accent1 6 4" xfId="9556" xr:uid="{4325C18E-F34A-44D7-834D-BFD28EE79179}"/>
    <cellStyle name="20% - Accent1 7" xfId="1437" xr:uid="{00000000-0005-0000-0000-000096000000}"/>
    <cellStyle name="20% - Accent1 7 2" xfId="3667" xr:uid="{00000000-0005-0000-0000-000097000000}"/>
    <cellStyle name="20% - Accent1 7 2 2" xfId="7890" xr:uid="{00000000-0005-0000-0000-000098000000}"/>
    <cellStyle name="20% - Accent1 7 2 2 2" xfId="16332" xr:uid="{F7A56E67-CBF8-4E9B-8F38-DD19DF794278}"/>
    <cellStyle name="20% - Accent1 7 2 3" xfId="12114" xr:uid="{80B3863C-E714-4F99-9FD6-B886B99AF535}"/>
    <cellStyle name="20% - Accent1 7 3" xfId="5745" xr:uid="{00000000-0005-0000-0000-000099000000}"/>
    <cellStyle name="20% - Accent1 7 3 2" xfId="14187" xr:uid="{B0446BE4-4443-49D5-991C-2AF7C820AD0C}"/>
    <cellStyle name="20% - Accent1 7 4" xfId="9969" xr:uid="{0BB1DF43-4BCF-41C0-B421-F2B21AD9A1F8}"/>
    <cellStyle name="20% - Accent1 8" xfId="1851" xr:uid="{00000000-0005-0000-0000-00009A000000}"/>
    <cellStyle name="20% - Accent1 8 2" xfId="4080" xr:uid="{00000000-0005-0000-0000-00009B000000}"/>
    <cellStyle name="20% - Accent1 8 2 2" xfId="8303" xr:uid="{00000000-0005-0000-0000-00009C000000}"/>
    <cellStyle name="20% - Accent1 8 2 2 2" xfId="16745" xr:uid="{0EAD2967-645D-484C-8E06-555C4487A65D}"/>
    <cellStyle name="20% - Accent1 8 2 3" xfId="12527" xr:uid="{7443A6BF-FD3A-4984-AE45-9A8D4BF73D7A}"/>
    <cellStyle name="20% - Accent1 8 3" xfId="6158" xr:uid="{00000000-0005-0000-0000-00009D000000}"/>
    <cellStyle name="20% - Accent1 8 3 2" xfId="14600" xr:uid="{4917DBC0-326E-452D-983F-1734DD59CEDF}"/>
    <cellStyle name="20% - Accent1 8 4" xfId="10382" xr:uid="{043D61B9-347F-4ACB-8C5E-B24550196917}"/>
    <cellStyle name="20% - Accent1 9" xfId="2264" xr:uid="{00000000-0005-0000-0000-00009E000000}"/>
    <cellStyle name="20% - Accent1 9 2" xfId="6571" xr:uid="{00000000-0005-0000-0000-00009F000000}"/>
    <cellStyle name="20% - Accent1 9 2 2" xfId="15013" xr:uid="{9F050B55-052F-4C92-B169-F23B1200C3A1}"/>
    <cellStyle name="20% - Accent1 9 3" xfId="10795" xr:uid="{416E1C8B-35B0-4B0C-9550-1E96C9290391}"/>
    <cellStyle name="20% - Accent2" xfId="9" builtinId="34" customBuiltin="1"/>
    <cellStyle name="20% - Accent2 10" xfId="4513" xr:uid="{00000000-0005-0000-0000-0000A1000000}"/>
    <cellStyle name="20% - Accent2 10 2" xfId="12955" xr:uid="{276894DA-66DA-4683-93DB-F4BEC1207C77}"/>
    <cellStyle name="20% - Accent2 11" xfId="8737" xr:uid="{A9ED19AE-7BCF-4AA6-AF44-E1D45A0989A1}"/>
    <cellStyle name="20% - Accent2 2" xfId="10" xr:uid="{00000000-0005-0000-0000-0000A2000000}"/>
    <cellStyle name="20% - Accent2 2 10" xfId="8738" xr:uid="{1A3AD394-DDC7-456B-ABE6-45CFED272D13}"/>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2 2 2" xfId="15517" xr:uid="{C6FA5ED7-BB82-4BAA-BA95-4A4DC2EEAFA7}"/>
    <cellStyle name="20% - Accent2 2 2 2 2 2 3" xfId="11299" xr:uid="{7294185C-2ECF-42BA-ABD8-A204AFD06E6A}"/>
    <cellStyle name="20% - Accent2 2 2 2 2 3" xfId="4930" xr:uid="{00000000-0005-0000-0000-0000A8000000}"/>
    <cellStyle name="20% - Accent2 2 2 2 2 3 2" xfId="13372" xr:uid="{5F7EC164-77DD-454F-BB18-C64B940376E8}"/>
    <cellStyle name="20% - Accent2 2 2 2 2 4" xfId="9154" xr:uid="{85FD20D8-04C5-43A0-84D9-A79825DBBFDA}"/>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2 2 2" xfId="15930" xr:uid="{D86C61A8-D891-4DA4-AD69-4CAD30838703}"/>
    <cellStyle name="20% - Accent2 2 2 2 3 2 3" xfId="11712" xr:uid="{6ADAE1C7-560B-4E8C-8AC6-162C0FB1F08A}"/>
    <cellStyle name="20% - Accent2 2 2 2 3 3" xfId="5343" xr:uid="{00000000-0005-0000-0000-0000AC000000}"/>
    <cellStyle name="20% - Accent2 2 2 2 3 3 2" xfId="13785" xr:uid="{E9A10CD3-7AC7-473E-A2C2-D3E6FD60B4BF}"/>
    <cellStyle name="20% - Accent2 2 2 2 3 4" xfId="9567" xr:uid="{DD331A0D-0A82-46EE-B877-AFD20CD5D251}"/>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2 2 2" xfId="16343" xr:uid="{6B3A6503-4EA6-49F0-B629-213785406039}"/>
    <cellStyle name="20% - Accent2 2 2 2 4 2 3" xfId="12125" xr:uid="{17235FD7-49C5-4B3B-ACF4-42831299EB26}"/>
    <cellStyle name="20% - Accent2 2 2 2 4 3" xfId="5756" xr:uid="{00000000-0005-0000-0000-0000B0000000}"/>
    <cellStyle name="20% - Accent2 2 2 2 4 3 2" xfId="14198" xr:uid="{AEBF2DD9-7E35-4DE2-ABAC-F0FC4D5C71DF}"/>
    <cellStyle name="20% - Accent2 2 2 2 4 4" xfId="9980" xr:uid="{2E3F3F64-B52C-4F95-8550-CD68FAE456CD}"/>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2 2 2" xfId="16756" xr:uid="{3B47CF68-0B1D-4FC3-AACD-596598DAF2BC}"/>
    <cellStyle name="20% - Accent2 2 2 2 5 2 3" xfId="12538" xr:uid="{EBA5F97B-5A83-412A-A436-911CA95C7573}"/>
    <cellStyle name="20% - Accent2 2 2 2 5 3" xfId="6169" xr:uid="{00000000-0005-0000-0000-0000B4000000}"/>
    <cellStyle name="20% - Accent2 2 2 2 5 3 2" xfId="14611" xr:uid="{3EE22E77-2085-4D30-A265-B35F3CBEA5D7}"/>
    <cellStyle name="20% - Accent2 2 2 2 5 4" xfId="10393" xr:uid="{7F87FA6B-96DA-442F-8C40-5EDD886F6D4D}"/>
    <cellStyle name="20% - Accent2 2 2 2 6" xfId="2275" xr:uid="{00000000-0005-0000-0000-0000B5000000}"/>
    <cellStyle name="20% - Accent2 2 2 2 6 2" xfId="6582" xr:uid="{00000000-0005-0000-0000-0000B6000000}"/>
    <cellStyle name="20% - Accent2 2 2 2 6 2 2" xfId="15024" xr:uid="{83363D26-89B2-4FE8-B37B-FCDCC1FD6915}"/>
    <cellStyle name="20% - Accent2 2 2 2 6 3" xfId="10806" xr:uid="{B83ED6DD-92FB-430B-8375-6F68D9DD75A4}"/>
    <cellStyle name="20% - Accent2 2 2 2 7" xfId="4516" xr:uid="{00000000-0005-0000-0000-0000B7000000}"/>
    <cellStyle name="20% - Accent2 2 2 2 7 2" xfId="12958" xr:uid="{EBF03371-BDCB-4DC1-9D00-686A5BFF25DF}"/>
    <cellStyle name="20% - Accent2 2 2 2 8" xfId="8740" xr:uid="{1C706838-E77A-43D0-BA89-1E8752ACE504}"/>
    <cellStyle name="20% - Accent2 2 2 3" xfId="580" xr:uid="{00000000-0005-0000-0000-0000B8000000}"/>
    <cellStyle name="20% - Accent2 2 2 3 2" xfId="2851" xr:uid="{00000000-0005-0000-0000-0000B9000000}"/>
    <cellStyle name="20% - Accent2 2 2 3 2 2" xfId="7074" xr:uid="{00000000-0005-0000-0000-0000BA000000}"/>
    <cellStyle name="20% - Accent2 2 2 3 2 2 2" xfId="15516" xr:uid="{72F2ACE9-0970-4A45-93C9-5B2AB6859C11}"/>
    <cellStyle name="20% - Accent2 2 2 3 2 3" xfId="11298" xr:uid="{76A772C7-D925-4C66-8F34-D70C0F533980}"/>
    <cellStyle name="20% - Accent2 2 2 3 3" xfId="4929" xr:uid="{00000000-0005-0000-0000-0000BB000000}"/>
    <cellStyle name="20% - Accent2 2 2 3 3 2" xfId="13371" xr:uid="{047B618B-2AB0-45F6-BDAB-D314590E2A4B}"/>
    <cellStyle name="20% - Accent2 2 2 3 4" xfId="9153" xr:uid="{B0F8AB50-A007-4849-BD74-DA3E839FF613}"/>
    <cellStyle name="20% - Accent2 2 2 4" xfId="1033" xr:uid="{00000000-0005-0000-0000-0000BC000000}"/>
    <cellStyle name="20% - Accent2 2 2 4 2" xfId="3264" xr:uid="{00000000-0005-0000-0000-0000BD000000}"/>
    <cellStyle name="20% - Accent2 2 2 4 2 2" xfId="7487" xr:uid="{00000000-0005-0000-0000-0000BE000000}"/>
    <cellStyle name="20% - Accent2 2 2 4 2 2 2" xfId="15929" xr:uid="{8FAB539B-A99F-4841-AA80-599CB066CCCD}"/>
    <cellStyle name="20% - Accent2 2 2 4 2 3" xfId="11711" xr:uid="{E5B0042B-AD83-45D5-AD96-CF1EA20BCF93}"/>
    <cellStyle name="20% - Accent2 2 2 4 3" xfId="5342" xr:uid="{00000000-0005-0000-0000-0000BF000000}"/>
    <cellStyle name="20% - Accent2 2 2 4 3 2" xfId="13784" xr:uid="{68E6C77B-CF1F-4C86-9E15-BAE0FD62631B}"/>
    <cellStyle name="20% - Accent2 2 2 4 4" xfId="9566" xr:uid="{FC587316-4464-4B88-8DB3-9CFB3BB5A664}"/>
    <cellStyle name="20% - Accent2 2 2 5" xfId="1447" xr:uid="{00000000-0005-0000-0000-0000C0000000}"/>
    <cellStyle name="20% - Accent2 2 2 5 2" xfId="3677" xr:uid="{00000000-0005-0000-0000-0000C1000000}"/>
    <cellStyle name="20% - Accent2 2 2 5 2 2" xfId="7900" xr:uid="{00000000-0005-0000-0000-0000C2000000}"/>
    <cellStyle name="20% - Accent2 2 2 5 2 2 2" xfId="16342" xr:uid="{EF2F42F4-AAB2-4F64-89FB-A230B5465A78}"/>
    <cellStyle name="20% - Accent2 2 2 5 2 3" xfId="12124" xr:uid="{68F61832-B193-41BD-87AC-CED2721D645B}"/>
    <cellStyle name="20% - Accent2 2 2 5 3" xfId="5755" xr:uid="{00000000-0005-0000-0000-0000C3000000}"/>
    <cellStyle name="20% - Accent2 2 2 5 3 2" xfId="14197" xr:uid="{E6CC9244-B635-45EA-9987-0AAEDAACAB14}"/>
    <cellStyle name="20% - Accent2 2 2 5 4" xfId="9979" xr:uid="{3698AE45-CC53-453E-8357-4B0F01679375}"/>
    <cellStyle name="20% - Accent2 2 2 6" xfId="1861" xr:uid="{00000000-0005-0000-0000-0000C4000000}"/>
    <cellStyle name="20% - Accent2 2 2 6 2" xfId="4090" xr:uid="{00000000-0005-0000-0000-0000C5000000}"/>
    <cellStyle name="20% - Accent2 2 2 6 2 2" xfId="8313" xr:uid="{00000000-0005-0000-0000-0000C6000000}"/>
    <cellStyle name="20% - Accent2 2 2 6 2 2 2" xfId="16755" xr:uid="{FE265A65-FF3B-49F9-91ED-29C9455C2B59}"/>
    <cellStyle name="20% - Accent2 2 2 6 2 3" xfId="12537" xr:uid="{A046A076-043D-416B-93D7-E08EC6F82B64}"/>
    <cellStyle name="20% - Accent2 2 2 6 3" xfId="6168" xr:uid="{00000000-0005-0000-0000-0000C7000000}"/>
    <cellStyle name="20% - Accent2 2 2 6 3 2" xfId="14610" xr:uid="{CE8E64A7-A730-43D9-8CA3-BBD48DBF4753}"/>
    <cellStyle name="20% - Accent2 2 2 6 4" xfId="10392" xr:uid="{4C0DBB45-5C3B-488E-987B-D98EF219BF62}"/>
    <cellStyle name="20% - Accent2 2 2 7" xfId="2274" xr:uid="{00000000-0005-0000-0000-0000C8000000}"/>
    <cellStyle name="20% - Accent2 2 2 7 2" xfId="6581" xr:uid="{00000000-0005-0000-0000-0000C9000000}"/>
    <cellStyle name="20% - Accent2 2 2 7 2 2" xfId="15023" xr:uid="{15D660F1-04AF-4353-BAAC-8B020CD85A3F}"/>
    <cellStyle name="20% - Accent2 2 2 7 3" xfId="10805" xr:uid="{4A7E743A-5682-4996-B245-BCE6592C5E75}"/>
    <cellStyle name="20% - Accent2 2 2 8" xfId="4515" xr:uid="{00000000-0005-0000-0000-0000CA000000}"/>
    <cellStyle name="20% - Accent2 2 2 8 2" xfId="12957" xr:uid="{FD52BEF0-DD44-45FE-BC79-C712BC5BDF19}"/>
    <cellStyle name="20% - Accent2 2 2 9" xfId="8739" xr:uid="{6BA1FC83-A483-40D2-A6C0-BF5E6BC8FA7D}"/>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2 2 2" xfId="15518" xr:uid="{32211C26-8F1F-4520-BBEA-FB7D211FF961}"/>
    <cellStyle name="20% - Accent2 2 3 2 2 3" xfId="11300" xr:uid="{ED4A30E4-290D-4ECB-A818-131D8069B4C3}"/>
    <cellStyle name="20% - Accent2 2 3 2 3" xfId="4931" xr:uid="{00000000-0005-0000-0000-0000CF000000}"/>
    <cellStyle name="20% - Accent2 2 3 2 3 2" xfId="13373" xr:uid="{F4A80A55-4651-4A0D-9DB1-2F338BF26964}"/>
    <cellStyle name="20% - Accent2 2 3 2 4" xfId="9155" xr:uid="{18266249-FF34-431F-AC1A-B8B4FEF0B3FC}"/>
    <cellStyle name="20% - Accent2 2 3 3" xfId="1035" xr:uid="{00000000-0005-0000-0000-0000D0000000}"/>
    <cellStyle name="20% - Accent2 2 3 3 2" xfId="3266" xr:uid="{00000000-0005-0000-0000-0000D1000000}"/>
    <cellStyle name="20% - Accent2 2 3 3 2 2" xfId="7489" xr:uid="{00000000-0005-0000-0000-0000D2000000}"/>
    <cellStyle name="20% - Accent2 2 3 3 2 2 2" xfId="15931" xr:uid="{695E99A5-D109-4FF0-B48D-639139556630}"/>
    <cellStyle name="20% - Accent2 2 3 3 2 3" xfId="11713" xr:uid="{9E673B7E-43FE-4C6C-B838-5DE77B222ED4}"/>
    <cellStyle name="20% - Accent2 2 3 3 3" xfId="5344" xr:uid="{00000000-0005-0000-0000-0000D3000000}"/>
    <cellStyle name="20% - Accent2 2 3 3 3 2" xfId="13786" xr:uid="{6A3408E6-DB13-4FCC-85D3-B7E70938E287}"/>
    <cellStyle name="20% - Accent2 2 3 3 4" xfId="9568" xr:uid="{14B765B2-798A-4989-93B5-E730A19F2D6F}"/>
    <cellStyle name="20% - Accent2 2 3 4" xfId="1449" xr:uid="{00000000-0005-0000-0000-0000D4000000}"/>
    <cellStyle name="20% - Accent2 2 3 4 2" xfId="3679" xr:uid="{00000000-0005-0000-0000-0000D5000000}"/>
    <cellStyle name="20% - Accent2 2 3 4 2 2" xfId="7902" xr:uid="{00000000-0005-0000-0000-0000D6000000}"/>
    <cellStyle name="20% - Accent2 2 3 4 2 2 2" xfId="16344" xr:uid="{E5A277CD-F87B-456E-91FB-575F86C538A6}"/>
    <cellStyle name="20% - Accent2 2 3 4 2 3" xfId="12126" xr:uid="{CF7376A5-09DA-44C8-98AF-1794E7AB57E1}"/>
    <cellStyle name="20% - Accent2 2 3 4 3" xfId="5757" xr:uid="{00000000-0005-0000-0000-0000D7000000}"/>
    <cellStyle name="20% - Accent2 2 3 4 3 2" xfId="14199" xr:uid="{D6CC2126-7570-4AC7-9EAC-3A7E51E02779}"/>
    <cellStyle name="20% - Accent2 2 3 4 4" xfId="9981" xr:uid="{CBACDF67-5E19-466C-9BB8-7E84C291621C}"/>
    <cellStyle name="20% - Accent2 2 3 5" xfId="1863" xr:uid="{00000000-0005-0000-0000-0000D8000000}"/>
    <cellStyle name="20% - Accent2 2 3 5 2" xfId="4092" xr:uid="{00000000-0005-0000-0000-0000D9000000}"/>
    <cellStyle name="20% - Accent2 2 3 5 2 2" xfId="8315" xr:uid="{00000000-0005-0000-0000-0000DA000000}"/>
    <cellStyle name="20% - Accent2 2 3 5 2 2 2" xfId="16757" xr:uid="{43D61209-3FD4-44F2-8A04-6AFF5938DAF2}"/>
    <cellStyle name="20% - Accent2 2 3 5 2 3" xfId="12539" xr:uid="{07A44790-CF85-480B-9BBE-23AB758F9134}"/>
    <cellStyle name="20% - Accent2 2 3 5 3" xfId="6170" xr:uid="{00000000-0005-0000-0000-0000DB000000}"/>
    <cellStyle name="20% - Accent2 2 3 5 3 2" xfId="14612" xr:uid="{E17C2593-2B70-4DA3-8631-C446D0D7E704}"/>
    <cellStyle name="20% - Accent2 2 3 5 4" xfId="10394" xr:uid="{943F8BD5-CEC5-4840-914D-C5F1A304FD10}"/>
    <cellStyle name="20% - Accent2 2 3 6" xfId="2276" xr:uid="{00000000-0005-0000-0000-0000DC000000}"/>
    <cellStyle name="20% - Accent2 2 3 6 2" xfId="6583" xr:uid="{00000000-0005-0000-0000-0000DD000000}"/>
    <cellStyle name="20% - Accent2 2 3 6 2 2" xfId="15025" xr:uid="{3FEB225B-DF37-4153-8226-7FB88AB68362}"/>
    <cellStyle name="20% - Accent2 2 3 6 3" xfId="10807" xr:uid="{3B541C96-760F-4C74-9A94-80EA09A7C93D}"/>
    <cellStyle name="20% - Accent2 2 3 7" xfId="4517" xr:uid="{00000000-0005-0000-0000-0000DE000000}"/>
    <cellStyle name="20% - Accent2 2 3 7 2" xfId="12959" xr:uid="{D463A147-5E08-4D0E-8A2D-2027D8E4A2EA}"/>
    <cellStyle name="20% - Accent2 2 3 8" xfId="8741" xr:uid="{40933EB6-9764-44EF-BB98-B5A3CFFD32AE}"/>
    <cellStyle name="20% - Accent2 2 4" xfId="579" xr:uid="{00000000-0005-0000-0000-0000DF000000}"/>
    <cellStyle name="20% - Accent2 2 4 2" xfId="2850" xr:uid="{00000000-0005-0000-0000-0000E0000000}"/>
    <cellStyle name="20% - Accent2 2 4 2 2" xfId="7073" xr:uid="{00000000-0005-0000-0000-0000E1000000}"/>
    <cellStyle name="20% - Accent2 2 4 2 2 2" xfId="15515" xr:uid="{DFF7E735-D6FD-4D1A-9BEC-54D1BCFCE0F6}"/>
    <cellStyle name="20% - Accent2 2 4 2 3" xfId="11297" xr:uid="{6B9A6B70-892F-4E0B-9B9F-46A56FACCA69}"/>
    <cellStyle name="20% - Accent2 2 4 3" xfId="4928" xr:uid="{00000000-0005-0000-0000-0000E2000000}"/>
    <cellStyle name="20% - Accent2 2 4 3 2" xfId="13370" xr:uid="{DF0CE64D-C3E9-4482-8270-916D2DD94EB7}"/>
    <cellStyle name="20% - Accent2 2 4 4" xfId="9152" xr:uid="{5A88167E-6828-416F-B525-4CAA7906FAB0}"/>
    <cellStyle name="20% - Accent2 2 5" xfId="1032" xr:uid="{00000000-0005-0000-0000-0000E3000000}"/>
    <cellStyle name="20% - Accent2 2 5 2" xfId="3263" xr:uid="{00000000-0005-0000-0000-0000E4000000}"/>
    <cellStyle name="20% - Accent2 2 5 2 2" xfId="7486" xr:uid="{00000000-0005-0000-0000-0000E5000000}"/>
    <cellStyle name="20% - Accent2 2 5 2 2 2" xfId="15928" xr:uid="{B37AA254-3710-4FD8-8914-8C7C2F70EAA2}"/>
    <cellStyle name="20% - Accent2 2 5 2 3" xfId="11710" xr:uid="{68ABF2F9-4D6E-4FAC-9E50-36D1CE4AE157}"/>
    <cellStyle name="20% - Accent2 2 5 3" xfId="5341" xr:uid="{00000000-0005-0000-0000-0000E6000000}"/>
    <cellStyle name="20% - Accent2 2 5 3 2" xfId="13783" xr:uid="{34D55D89-4DB4-4AFF-A49C-AABEC11AD258}"/>
    <cellStyle name="20% - Accent2 2 5 4" xfId="9565" xr:uid="{15AFD8BB-A974-4DE0-BCF8-108E83055DB6}"/>
    <cellStyle name="20% - Accent2 2 6" xfId="1446" xr:uid="{00000000-0005-0000-0000-0000E7000000}"/>
    <cellStyle name="20% - Accent2 2 6 2" xfId="3676" xr:uid="{00000000-0005-0000-0000-0000E8000000}"/>
    <cellStyle name="20% - Accent2 2 6 2 2" xfId="7899" xr:uid="{00000000-0005-0000-0000-0000E9000000}"/>
    <cellStyle name="20% - Accent2 2 6 2 2 2" xfId="16341" xr:uid="{9C72A7F0-F088-4E94-B411-BBF3F075E10A}"/>
    <cellStyle name="20% - Accent2 2 6 2 3" xfId="12123" xr:uid="{408CAE17-DA14-42E7-8022-E937088C11ED}"/>
    <cellStyle name="20% - Accent2 2 6 3" xfId="5754" xr:uid="{00000000-0005-0000-0000-0000EA000000}"/>
    <cellStyle name="20% - Accent2 2 6 3 2" xfId="14196" xr:uid="{3A7140E8-F3CB-4A6A-A5DA-EC0C74210314}"/>
    <cellStyle name="20% - Accent2 2 6 4" xfId="9978" xr:uid="{85A12E8A-E156-4FFD-A1E2-B60909DA38A3}"/>
    <cellStyle name="20% - Accent2 2 7" xfId="1860" xr:uid="{00000000-0005-0000-0000-0000EB000000}"/>
    <cellStyle name="20% - Accent2 2 7 2" xfId="4089" xr:uid="{00000000-0005-0000-0000-0000EC000000}"/>
    <cellStyle name="20% - Accent2 2 7 2 2" xfId="8312" xr:uid="{00000000-0005-0000-0000-0000ED000000}"/>
    <cellStyle name="20% - Accent2 2 7 2 2 2" xfId="16754" xr:uid="{3320D3DA-74EC-4099-8C00-AE4C9B4545D6}"/>
    <cellStyle name="20% - Accent2 2 7 2 3" xfId="12536" xr:uid="{D7403B56-E317-4778-9A98-5FB8FABE83D8}"/>
    <cellStyle name="20% - Accent2 2 7 3" xfId="6167" xr:uid="{00000000-0005-0000-0000-0000EE000000}"/>
    <cellStyle name="20% - Accent2 2 7 3 2" xfId="14609" xr:uid="{8B9C4218-1E5C-4302-A811-15C206A164DA}"/>
    <cellStyle name="20% - Accent2 2 7 4" xfId="10391" xr:uid="{7F0EC452-7B79-40DB-95D0-8C0533C823DB}"/>
    <cellStyle name="20% - Accent2 2 8" xfId="2273" xr:uid="{00000000-0005-0000-0000-0000EF000000}"/>
    <cellStyle name="20% - Accent2 2 8 2" xfId="6580" xr:uid="{00000000-0005-0000-0000-0000F0000000}"/>
    <cellStyle name="20% - Accent2 2 8 2 2" xfId="15022" xr:uid="{8173C5E3-FA46-47FA-ACC7-936CF7651E55}"/>
    <cellStyle name="20% - Accent2 2 8 3" xfId="10804" xr:uid="{ABBCE812-F682-44D5-9772-644ECBCF092F}"/>
    <cellStyle name="20% - Accent2 2 9" xfId="4514" xr:uid="{00000000-0005-0000-0000-0000F1000000}"/>
    <cellStyle name="20% - Accent2 2 9 2" xfId="12956" xr:uid="{42B77E98-1F03-4554-BFCF-CA31B7EFBD1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2 2 2" xfId="15520" xr:uid="{AE5E0433-5674-4CD6-9103-C960F27D1B32}"/>
    <cellStyle name="20% - Accent2 3 2 2 2 3" xfId="11302" xr:uid="{FE9702E0-74D9-42A5-B167-9E6982599797}"/>
    <cellStyle name="20% - Accent2 3 2 2 3" xfId="4933" xr:uid="{00000000-0005-0000-0000-0000F7000000}"/>
    <cellStyle name="20% - Accent2 3 2 2 3 2" xfId="13375" xr:uid="{763A4042-EBE5-4EEC-A791-F2A1F55678EA}"/>
    <cellStyle name="20% - Accent2 3 2 2 4" xfId="9157" xr:uid="{C4A6A47C-BD03-4072-8231-AAD7D50916B5}"/>
    <cellStyle name="20% - Accent2 3 2 3" xfId="1037" xr:uid="{00000000-0005-0000-0000-0000F8000000}"/>
    <cellStyle name="20% - Accent2 3 2 3 2" xfId="3268" xr:uid="{00000000-0005-0000-0000-0000F9000000}"/>
    <cellStyle name="20% - Accent2 3 2 3 2 2" xfId="7491" xr:uid="{00000000-0005-0000-0000-0000FA000000}"/>
    <cellStyle name="20% - Accent2 3 2 3 2 2 2" xfId="15933" xr:uid="{E538A25E-6FB6-47DA-8786-FFB4CF14F8D8}"/>
    <cellStyle name="20% - Accent2 3 2 3 2 3" xfId="11715" xr:uid="{9DCB4911-08F9-41A0-917E-CEECC9671653}"/>
    <cellStyle name="20% - Accent2 3 2 3 3" xfId="5346" xr:uid="{00000000-0005-0000-0000-0000FB000000}"/>
    <cellStyle name="20% - Accent2 3 2 3 3 2" xfId="13788" xr:uid="{7EC0B905-B53F-4A12-BFD1-918210988E2E}"/>
    <cellStyle name="20% - Accent2 3 2 3 4" xfId="9570" xr:uid="{BD87B2EE-7E8A-4060-8CFD-A0254928102C}"/>
    <cellStyle name="20% - Accent2 3 2 4" xfId="1451" xr:uid="{00000000-0005-0000-0000-0000FC000000}"/>
    <cellStyle name="20% - Accent2 3 2 4 2" xfId="3681" xr:uid="{00000000-0005-0000-0000-0000FD000000}"/>
    <cellStyle name="20% - Accent2 3 2 4 2 2" xfId="7904" xr:uid="{00000000-0005-0000-0000-0000FE000000}"/>
    <cellStyle name="20% - Accent2 3 2 4 2 2 2" xfId="16346" xr:uid="{A2368BEA-F8E4-4FE0-A182-2A4BDD86DEC3}"/>
    <cellStyle name="20% - Accent2 3 2 4 2 3" xfId="12128" xr:uid="{C5EBC28E-2A33-4CBE-B54D-E77973F28EB1}"/>
    <cellStyle name="20% - Accent2 3 2 4 3" xfId="5759" xr:uid="{00000000-0005-0000-0000-0000FF000000}"/>
    <cellStyle name="20% - Accent2 3 2 4 3 2" xfId="14201" xr:uid="{1FE4C17E-F2A3-460E-B173-1501CA593E24}"/>
    <cellStyle name="20% - Accent2 3 2 4 4" xfId="9983" xr:uid="{86755AA7-FBD9-4FE8-8571-2B339DB8E0E2}"/>
    <cellStyle name="20% - Accent2 3 2 5" xfId="1865" xr:uid="{00000000-0005-0000-0000-000000010000}"/>
    <cellStyle name="20% - Accent2 3 2 5 2" xfId="4094" xr:uid="{00000000-0005-0000-0000-000001010000}"/>
    <cellStyle name="20% - Accent2 3 2 5 2 2" xfId="8317" xr:uid="{00000000-0005-0000-0000-000002010000}"/>
    <cellStyle name="20% - Accent2 3 2 5 2 2 2" xfId="16759" xr:uid="{CDA5EC88-AFC8-4D67-BB38-3A6D5F4B916C}"/>
    <cellStyle name="20% - Accent2 3 2 5 2 3" xfId="12541" xr:uid="{4494C570-1F38-41DB-8AB5-CD7959AB4C59}"/>
    <cellStyle name="20% - Accent2 3 2 5 3" xfId="6172" xr:uid="{00000000-0005-0000-0000-000003010000}"/>
    <cellStyle name="20% - Accent2 3 2 5 3 2" xfId="14614" xr:uid="{B38A2D21-073D-48DB-B597-FD2D4757F0E8}"/>
    <cellStyle name="20% - Accent2 3 2 5 4" xfId="10396" xr:uid="{B6D1AEC0-6AD0-45D9-AE18-627EB61B4E65}"/>
    <cellStyle name="20% - Accent2 3 2 6" xfId="2278" xr:uid="{00000000-0005-0000-0000-000004010000}"/>
    <cellStyle name="20% - Accent2 3 2 6 2" xfId="6585" xr:uid="{00000000-0005-0000-0000-000005010000}"/>
    <cellStyle name="20% - Accent2 3 2 6 2 2" xfId="15027" xr:uid="{49FF43A2-B43D-4F17-A82D-96B8F6D67398}"/>
    <cellStyle name="20% - Accent2 3 2 6 3" xfId="10809" xr:uid="{3431F2E8-9EC0-4A67-96F3-1025F9F299CA}"/>
    <cellStyle name="20% - Accent2 3 2 7" xfId="4519" xr:uid="{00000000-0005-0000-0000-000006010000}"/>
    <cellStyle name="20% - Accent2 3 2 7 2" xfId="12961" xr:uid="{CCFF33AB-3CF9-4762-8770-B4EDD39C3264}"/>
    <cellStyle name="20% - Accent2 3 2 8" xfId="8743" xr:uid="{CFA386A4-3F99-4FD4-82D5-8ECFE57434E8}"/>
    <cellStyle name="20% - Accent2 3 3" xfId="583" xr:uid="{00000000-0005-0000-0000-000007010000}"/>
    <cellStyle name="20% - Accent2 3 3 2" xfId="2854" xr:uid="{00000000-0005-0000-0000-000008010000}"/>
    <cellStyle name="20% - Accent2 3 3 2 2" xfId="7077" xr:uid="{00000000-0005-0000-0000-000009010000}"/>
    <cellStyle name="20% - Accent2 3 3 2 2 2" xfId="15519" xr:uid="{B97E91A2-CFBF-4C09-83C0-4A9295D11B57}"/>
    <cellStyle name="20% - Accent2 3 3 2 3" xfId="11301" xr:uid="{F87EDEBC-CD38-4833-BA50-8D8A36415D64}"/>
    <cellStyle name="20% - Accent2 3 3 3" xfId="4932" xr:uid="{00000000-0005-0000-0000-00000A010000}"/>
    <cellStyle name="20% - Accent2 3 3 3 2" xfId="13374" xr:uid="{6292D9AB-B19C-451F-BBFE-79BDADB836AF}"/>
    <cellStyle name="20% - Accent2 3 3 4" xfId="9156" xr:uid="{760451A7-3175-493D-A364-C3BDA450FE4B}"/>
    <cellStyle name="20% - Accent2 3 4" xfId="1036" xr:uid="{00000000-0005-0000-0000-00000B010000}"/>
    <cellStyle name="20% - Accent2 3 4 2" xfId="3267" xr:uid="{00000000-0005-0000-0000-00000C010000}"/>
    <cellStyle name="20% - Accent2 3 4 2 2" xfId="7490" xr:uid="{00000000-0005-0000-0000-00000D010000}"/>
    <cellStyle name="20% - Accent2 3 4 2 2 2" xfId="15932" xr:uid="{4A9AA6C3-B5A2-41BC-972F-0626C1DF1996}"/>
    <cellStyle name="20% - Accent2 3 4 2 3" xfId="11714" xr:uid="{CCC9C77B-EC62-46A5-96D8-96871F2EAD88}"/>
    <cellStyle name="20% - Accent2 3 4 3" xfId="5345" xr:uid="{00000000-0005-0000-0000-00000E010000}"/>
    <cellStyle name="20% - Accent2 3 4 3 2" xfId="13787" xr:uid="{A067E788-038F-4112-B044-F083B7277167}"/>
    <cellStyle name="20% - Accent2 3 4 4" xfId="9569" xr:uid="{4C4C6349-5A35-4ECA-A161-9DF44EA86BFC}"/>
    <cellStyle name="20% - Accent2 3 5" xfId="1450" xr:uid="{00000000-0005-0000-0000-00000F010000}"/>
    <cellStyle name="20% - Accent2 3 5 2" xfId="3680" xr:uid="{00000000-0005-0000-0000-000010010000}"/>
    <cellStyle name="20% - Accent2 3 5 2 2" xfId="7903" xr:uid="{00000000-0005-0000-0000-000011010000}"/>
    <cellStyle name="20% - Accent2 3 5 2 2 2" xfId="16345" xr:uid="{CAD622C5-6772-4385-B87B-87F6DB9B096B}"/>
    <cellStyle name="20% - Accent2 3 5 2 3" xfId="12127" xr:uid="{68B1B577-F225-49AE-87C5-2953462231D2}"/>
    <cellStyle name="20% - Accent2 3 5 3" xfId="5758" xr:uid="{00000000-0005-0000-0000-000012010000}"/>
    <cellStyle name="20% - Accent2 3 5 3 2" xfId="14200" xr:uid="{27D0B018-25D4-44C3-946A-B5D782F9DCE9}"/>
    <cellStyle name="20% - Accent2 3 5 4" xfId="9982" xr:uid="{B3E780A2-0C54-473C-BDA8-D24E1B69FA27}"/>
    <cellStyle name="20% - Accent2 3 6" xfId="1864" xr:uid="{00000000-0005-0000-0000-000013010000}"/>
    <cellStyle name="20% - Accent2 3 6 2" xfId="4093" xr:uid="{00000000-0005-0000-0000-000014010000}"/>
    <cellStyle name="20% - Accent2 3 6 2 2" xfId="8316" xr:uid="{00000000-0005-0000-0000-000015010000}"/>
    <cellStyle name="20% - Accent2 3 6 2 2 2" xfId="16758" xr:uid="{E3D301C1-D3A5-4A7F-B03C-2BE53CDAA4E1}"/>
    <cellStyle name="20% - Accent2 3 6 2 3" xfId="12540" xr:uid="{E9100169-A65B-46B5-B522-1D78494DB2A4}"/>
    <cellStyle name="20% - Accent2 3 6 3" xfId="6171" xr:uid="{00000000-0005-0000-0000-000016010000}"/>
    <cellStyle name="20% - Accent2 3 6 3 2" xfId="14613" xr:uid="{EC30EBFF-FB7C-4C9D-8A80-46CB5844F376}"/>
    <cellStyle name="20% - Accent2 3 6 4" xfId="10395" xr:uid="{AD5AB61C-70F4-47B6-838D-AE36BA6EB42C}"/>
    <cellStyle name="20% - Accent2 3 7" xfId="2277" xr:uid="{00000000-0005-0000-0000-000017010000}"/>
    <cellStyle name="20% - Accent2 3 7 2" xfId="6584" xr:uid="{00000000-0005-0000-0000-000018010000}"/>
    <cellStyle name="20% - Accent2 3 7 2 2" xfId="15026" xr:uid="{739BB950-7461-4709-A1E5-B9442928F66E}"/>
    <cellStyle name="20% - Accent2 3 7 3" xfId="10808" xr:uid="{78BA2925-028A-46AD-9F75-5904C7B753EB}"/>
    <cellStyle name="20% - Accent2 3 8" xfId="4518" xr:uid="{00000000-0005-0000-0000-000019010000}"/>
    <cellStyle name="20% - Accent2 3 8 2" xfId="12960" xr:uid="{4F2FD950-FC58-452C-AB19-CADD3CE1CADF}"/>
    <cellStyle name="20% - Accent2 3 9" xfId="8742" xr:uid="{8CA263A1-C720-4F1D-B957-8FC29FDF7D4E}"/>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2 2 2" xfId="15521" xr:uid="{5D0B0D8C-56C0-44C0-AAAB-FEA6341B3886}"/>
    <cellStyle name="20% - Accent2 4 2 2 3" xfId="11303" xr:uid="{D8207A82-8755-49F9-AA00-A16C09EC9F0D}"/>
    <cellStyle name="20% - Accent2 4 2 3" xfId="4934" xr:uid="{00000000-0005-0000-0000-00001E010000}"/>
    <cellStyle name="20% - Accent2 4 2 3 2" xfId="13376" xr:uid="{A4D1BB25-C975-416F-A273-9D03FFC274EF}"/>
    <cellStyle name="20% - Accent2 4 2 4" xfId="9158" xr:uid="{0396CC57-7E69-4AE4-A134-9760CDBCCDE1}"/>
    <cellStyle name="20% - Accent2 4 3" xfId="1038" xr:uid="{00000000-0005-0000-0000-00001F010000}"/>
    <cellStyle name="20% - Accent2 4 3 2" xfId="3269" xr:uid="{00000000-0005-0000-0000-000020010000}"/>
    <cellStyle name="20% - Accent2 4 3 2 2" xfId="7492" xr:uid="{00000000-0005-0000-0000-000021010000}"/>
    <cellStyle name="20% - Accent2 4 3 2 2 2" xfId="15934" xr:uid="{9BCF4376-6A63-4517-B90E-583DE3526CBF}"/>
    <cellStyle name="20% - Accent2 4 3 2 3" xfId="11716" xr:uid="{55162018-CA61-463E-9B05-10DC2447CA73}"/>
    <cellStyle name="20% - Accent2 4 3 3" xfId="5347" xr:uid="{00000000-0005-0000-0000-000022010000}"/>
    <cellStyle name="20% - Accent2 4 3 3 2" xfId="13789" xr:uid="{F7FE4192-A2EA-4B4B-86D2-47DFDB4902E4}"/>
    <cellStyle name="20% - Accent2 4 3 4" xfId="9571" xr:uid="{B6E06537-C392-477A-9536-9504D6631D9A}"/>
    <cellStyle name="20% - Accent2 4 4" xfId="1452" xr:uid="{00000000-0005-0000-0000-000023010000}"/>
    <cellStyle name="20% - Accent2 4 4 2" xfId="3682" xr:uid="{00000000-0005-0000-0000-000024010000}"/>
    <cellStyle name="20% - Accent2 4 4 2 2" xfId="7905" xr:uid="{00000000-0005-0000-0000-000025010000}"/>
    <cellStyle name="20% - Accent2 4 4 2 2 2" xfId="16347" xr:uid="{EA1DD68E-6109-45A4-AB0A-E955CE7D7E07}"/>
    <cellStyle name="20% - Accent2 4 4 2 3" xfId="12129" xr:uid="{656C6F9C-B9F5-4161-ACE6-5F7DFCD5ED78}"/>
    <cellStyle name="20% - Accent2 4 4 3" xfId="5760" xr:uid="{00000000-0005-0000-0000-000026010000}"/>
    <cellStyle name="20% - Accent2 4 4 3 2" xfId="14202" xr:uid="{95E3C457-6493-4DA9-B0E8-745C79D0F846}"/>
    <cellStyle name="20% - Accent2 4 4 4" xfId="9984" xr:uid="{241E74F8-79E1-4363-911F-89A0CDB51C20}"/>
    <cellStyle name="20% - Accent2 4 5" xfId="1866" xr:uid="{00000000-0005-0000-0000-000027010000}"/>
    <cellStyle name="20% - Accent2 4 5 2" xfId="4095" xr:uid="{00000000-0005-0000-0000-000028010000}"/>
    <cellStyle name="20% - Accent2 4 5 2 2" xfId="8318" xr:uid="{00000000-0005-0000-0000-000029010000}"/>
    <cellStyle name="20% - Accent2 4 5 2 2 2" xfId="16760" xr:uid="{2F207C50-AB24-4022-A4C1-09C4DC2DCC20}"/>
    <cellStyle name="20% - Accent2 4 5 2 3" xfId="12542" xr:uid="{27B7C33B-48BF-4433-9750-BC1C4CAEFFDF}"/>
    <cellStyle name="20% - Accent2 4 5 3" xfId="6173" xr:uid="{00000000-0005-0000-0000-00002A010000}"/>
    <cellStyle name="20% - Accent2 4 5 3 2" xfId="14615" xr:uid="{40B9BD7F-1331-44CC-892A-DBD43953D019}"/>
    <cellStyle name="20% - Accent2 4 5 4" xfId="10397" xr:uid="{FCDA9E55-BE6C-4D7C-918C-2A2D038C9120}"/>
    <cellStyle name="20% - Accent2 4 6" xfId="2279" xr:uid="{00000000-0005-0000-0000-00002B010000}"/>
    <cellStyle name="20% - Accent2 4 6 2" xfId="6586" xr:uid="{00000000-0005-0000-0000-00002C010000}"/>
    <cellStyle name="20% - Accent2 4 6 2 2" xfId="15028" xr:uid="{C98AD359-ECB0-4638-84F6-8255A3389DBA}"/>
    <cellStyle name="20% - Accent2 4 6 3" xfId="10810" xr:uid="{27B68EA4-82BC-4A9D-9048-FDDE192646DF}"/>
    <cellStyle name="20% - Accent2 4 7" xfId="4520" xr:uid="{00000000-0005-0000-0000-00002D010000}"/>
    <cellStyle name="20% - Accent2 4 7 2" xfId="12962" xr:uid="{247E1CE5-5583-4991-BFC0-3E88EE572E72}"/>
    <cellStyle name="20% - Accent2 4 8" xfId="8744" xr:uid="{50A8A39B-97BF-48EF-853F-433CAF7C0B3E}"/>
    <cellStyle name="20% - Accent2 5" xfId="578" xr:uid="{00000000-0005-0000-0000-00002E010000}"/>
    <cellStyle name="20% - Accent2 5 2" xfId="2849" xr:uid="{00000000-0005-0000-0000-00002F010000}"/>
    <cellStyle name="20% - Accent2 5 2 2" xfId="7072" xr:uid="{00000000-0005-0000-0000-000030010000}"/>
    <cellStyle name="20% - Accent2 5 2 2 2" xfId="15514" xr:uid="{05827A64-9E9A-4BA4-BD90-F5BEE42A721E}"/>
    <cellStyle name="20% - Accent2 5 2 3" xfId="11296" xr:uid="{74CDB20A-3A72-4035-AB37-9BBFA19D14E8}"/>
    <cellStyle name="20% - Accent2 5 3" xfId="4927" xr:uid="{00000000-0005-0000-0000-000031010000}"/>
    <cellStyle name="20% - Accent2 5 3 2" xfId="13369" xr:uid="{71F27750-A057-4B53-AE82-2118DD9AD721}"/>
    <cellStyle name="20% - Accent2 5 4" xfId="9151" xr:uid="{67E93311-E818-4B37-8762-1E3A7AE2AB05}"/>
    <cellStyle name="20% - Accent2 6" xfId="1031" xr:uid="{00000000-0005-0000-0000-000032010000}"/>
    <cellStyle name="20% - Accent2 6 2" xfId="3262" xr:uid="{00000000-0005-0000-0000-000033010000}"/>
    <cellStyle name="20% - Accent2 6 2 2" xfId="7485" xr:uid="{00000000-0005-0000-0000-000034010000}"/>
    <cellStyle name="20% - Accent2 6 2 2 2" xfId="15927" xr:uid="{43754985-19C0-47E6-BE61-45332B3757DE}"/>
    <cellStyle name="20% - Accent2 6 2 3" xfId="11709" xr:uid="{0E730D3C-A496-4CA8-8ED2-DB01C25C6E2B}"/>
    <cellStyle name="20% - Accent2 6 3" xfId="5340" xr:uid="{00000000-0005-0000-0000-000035010000}"/>
    <cellStyle name="20% - Accent2 6 3 2" xfId="13782" xr:uid="{3C06D846-F778-4C5A-963D-F7AE1E6E4EF7}"/>
    <cellStyle name="20% - Accent2 6 4" xfId="9564" xr:uid="{3C5377EB-9783-4681-89DB-1E4A22697718}"/>
    <cellStyle name="20% - Accent2 7" xfId="1445" xr:uid="{00000000-0005-0000-0000-000036010000}"/>
    <cellStyle name="20% - Accent2 7 2" xfId="3675" xr:uid="{00000000-0005-0000-0000-000037010000}"/>
    <cellStyle name="20% - Accent2 7 2 2" xfId="7898" xr:uid="{00000000-0005-0000-0000-000038010000}"/>
    <cellStyle name="20% - Accent2 7 2 2 2" xfId="16340" xr:uid="{A01F408A-C6C9-4D96-BBA9-B7413AF9D502}"/>
    <cellStyle name="20% - Accent2 7 2 3" xfId="12122" xr:uid="{DBA6D21E-3C09-4F3D-A00E-616EC4E982DA}"/>
    <cellStyle name="20% - Accent2 7 3" xfId="5753" xr:uid="{00000000-0005-0000-0000-000039010000}"/>
    <cellStyle name="20% - Accent2 7 3 2" xfId="14195" xr:uid="{E62AAC0D-05E2-4B86-ADD1-821DF75376ED}"/>
    <cellStyle name="20% - Accent2 7 4" xfId="9977" xr:uid="{8A5B01E5-851C-48A0-92EC-AF523580F269}"/>
    <cellStyle name="20% - Accent2 8" xfId="1859" xr:uid="{00000000-0005-0000-0000-00003A010000}"/>
    <cellStyle name="20% - Accent2 8 2" xfId="4088" xr:uid="{00000000-0005-0000-0000-00003B010000}"/>
    <cellStyle name="20% - Accent2 8 2 2" xfId="8311" xr:uid="{00000000-0005-0000-0000-00003C010000}"/>
    <cellStyle name="20% - Accent2 8 2 2 2" xfId="16753" xr:uid="{E883E831-1E0A-4DE4-9A95-88FD77243827}"/>
    <cellStyle name="20% - Accent2 8 2 3" xfId="12535" xr:uid="{218127D5-D46D-4D55-BEF2-2280608F30A6}"/>
    <cellStyle name="20% - Accent2 8 3" xfId="6166" xr:uid="{00000000-0005-0000-0000-00003D010000}"/>
    <cellStyle name="20% - Accent2 8 3 2" xfId="14608" xr:uid="{9DA5060E-62E3-41F8-A600-961FBD0285C0}"/>
    <cellStyle name="20% - Accent2 8 4" xfId="10390" xr:uid="{7F0FC8CE-86B9-48F9-A2B3-A1C0BB1F6D17}"/>
    <cellStyle name="20% - Accent2 9" xfId="2272" xr:uid="{00000000-0005-0000-0000-00003E010000}"/>
    <cellStyle name="20% - Accent2 9 2" xfId="6579" xr:uid="{00000000-0005-0000-0000-00003F010000}"/>
    <cellStyle name="20% - Accent2 9 2 2" xfId="15021" xr:uid="{98758A72-DD3A-4CDA-848E-C71E4943ACA9}"/>
    <cellStyle name="20% - Accent2 9 3" xfId="10803" xr:uid="{A250D3C9-3522-44DA-8E43-85D9218B2826}"/>
    <cellStyle name="20% - Accent3" xfId="17" builtinId="38" customBuiltin="1"/>
    <cellStyle name="20% - Accent3 10" xfId="4521" xr:uid="{00000000-0005-0000-0000-000041010000}"/>
    <cellStyle name="20% - Accent3 10 2" xfId="12963" xr:uid="{EDD76A65-D898-4B5D-8CE1-9C02B27A5622}"/>
    <cellStyle name="20% - Accent3 11" xfId="8745" xr:uid="{5EC6338A-572E-4B5E-A30E-5B151F02D86C}"/>
    <cellStyle name="20% - Accent3 2" xfId="18" xr:uid="{00000000-0005-0000-0000-000042010000}"/>
    <cellStyle name="20% - Accent3 2 10" xfId="8746" xr:uid="{C247DD89-8BE9-4357-87CD-BFEAF4EE144C}"/>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2 2 2" xfId="15525" xr:uid="{DF491B02-B144-4E85-935C-CEF72A2D5C4B}"/>
    <cellStyle name="20% - Accent3 2 2 2 2 2 3" xfId="11307" xr:uid="{0D2EE4A3-51C8-4235-8A71-90D8D2571507}"/>
    <cellStyle name="20% - Accent3 2 2 2 2 3" xfId="4938" xr:uid="{00000000-0005-0000-0000-000048010000}"/>
    <cellStyle name="20% - Accent3 2 2 2 2 3 2" xfId="13380" xr:uid="{2C34C7F0-18FA-4853-AF82-5B265F500E8A}"/>
    <cellStyle name="20% - Accent3 2 2 2 2 4" xfId="9162" xr:uid="{D31955ED-88F5-440A-B3B1-ED70FBC7340B}"/>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2 2 2" xfId="15938" xr:uid="{E04FE7E2-7E36-4038-84C3-9056D6A2F995}"/>
    <cellStyle name="20% - Accent3 2 2 2 3 2 3" xfId="11720" xr:uid="{2D5F44C6-1061-4A44-8BFB-4E97C1917FC4}"/>
    <cellStyle name="20% - Accent3 2 2 2 3 3" xfId="5351" xr:uid="{00000000-0005-0000-0000-00004C010000}"/>
    <cellStyle name="20% - Accent3 2 2 2 3 3 2" xfId="13793" xr:uid="{2EBB7E77-51DA-4D8C-891A-A7B2EA3974FD}"/>
    <cellStyle name="20% - Accent3 2 2 2 3 4" xfId="9575" xr:uid="{6B45BADE-FE87-47EA-ADD4-AF2B4DD31EA8}"/>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2 2 2" xfId="16351" xr:uid="{98CB87C2-0783-4248-9319-0963383714EF}"/>
    <cellStyle name="20% - Accent3 2 2 2 4 2 3" xfId="12133" xr:uid="{54297B78-FB83-472C-9DF6-5196211048B6}"/>
    <cellStyle name="20% - Accent3 2 2 2 4 3" xfId="5764" xr:uid="{00000000-0005-0000-0000-000050010000}"/>
    <cellStyle name="20% - Accent3 2 2 2 4 3 2" xfId="14206" xr:uid="{C894EE0C-5E48-433D-98C7-ECC66B75B90E}"/>
    <cellStyle name="20% - Accent3 2 2 2 4 4" xfId="9988" xr:uid="{D052F26E-3F70-4692-BE5F-253C40E8C5B2}"/>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2 2 2" xfId="16764" xr:uid="{F1E84268-2382-444B-A23F-DD70A08B0288}"/>
    <cellStyle name="20% - Accent3 2 2 2 5 2 3" xfId="12546" xr:uid="{B146F54E-D268-42B7-B116-B74FA5543386}"/>
    <cellStyle name="20% - Accent3 2 2 2 5 3" xfId="6177" xr:uid="{00000000-0005-0000-0000-000054010000}"/>
    <cellStyle name="20% - Accent3 2 2 2 5 3 2" xfId="14619" xr:uid="{1A5124CE-9DD2-4EFA-96B3-219D06A9144A}"/>
    <cellStyle name="20% - Accent3 2 2 2 5 4" xfId="10401" xr:uid="{D368A28C-D205-4DFF-92C4-CC9C0003883E}"/>
    <cellStyle name="20% - Accent3 2 2 2 6" xfId="2283" xr:uid="{00000000-0005-0000-0000-000055010000}"/>
    <cellStyle name="20% - Accent3 2 2 2 6 2" xfId="6590" xr:uid="{00000000-0005-0000-0000-000056010000}"/>
    <cellStyle name="20% - Accent3 2 2 2 6 2 2" xfId="15032" xr:uid="{76C19822-525B-46B4-91DE-F5DE39A983DE}"/>
    <cellStyle name="20% - Accent3 2 2 2 6 3" xfId="10814" xr:uid="{A01BF501-DC06-457E-AE15-B5E1EDE85856}"/>
    <cellStyle name="20% - Accent3 2 2 2 7" xfId="4524" xr:uid="{00000000-0005-0000-0000-000057010000}"/>
    <cellStyle name="20% - Accent3 2 2 2 7 2" xfId="12966" xr:uid="{BBAB5CCE-77DB-4841-9165-1787EEB8662F}"/>
    <cellStyle name="20% - Accent3 2 2 2 8" xfId="8748" xr:uid="{E03C3671-BE10-4EDD-A092-D0117EFB6BA1}"/>
    <cellStyle name="20% - Accent3 2 2 3" xfId="588" xr:uid="{00000000-0005-0000-0000-000058010000}"/>
    <cellStyle name="20% - Accent3 2 2 3 2" xfId="2859" xr:uid="{00000000-0005-0000-0000-000059010000}"/>
    <cellStyle name="20% - Accent3 2 2 3 2 2" xfId="7082" xr:uid="{00000000-0005-0000-0000-00005A010000}"/>
    <cellStyle name="20% - Accent3 2 2 3 2 2 2" xfId="15524" xr:uid="{384C62CE-DC14-4DB6-B582-83410FCC1C20}"/>
    <cellStyle name="20% - Accent3 2 2 3 2 3" xfId="11306" xr:uid="{6C139F1F-D8DA-4486-A966-F8057ABE09EA}"/>
    <cellStyle name="20% - Accent3 2 2 3 3" xfId="4937" xr:uid="{00000000-0005-0000-0000-00005B010000}"/>
    <cellStyle name="20% - Accent3 2 2 3 3 2" xfId="13379" xr:uid="{09D90CEA-50BC-4C00-BABC-F6DD4D5AB861}"/>
    <cellStyle name="20% - Accent3 2 2 3 4" xfId="9161" xr:uid="{EA199EDA-B748-410F-A979-C14F42714EF8}"/>
    <cellStyle name="20% - Accent3 2 2 4" xfId="1041" xr:uid="{00000000-0005-0000-0000-00005C010000}"/>
    <cellStyle name="20% - Accent3 2 2 4 2" xfId="3272" xr:uid="{00000000-0005-0000-0000-00005D010000}"/>
    <cellStyle name="20% - Accent3 2 2 4 2 2" xfId="7495" xr:uid="{00000000-0005-0000-0000-00005E010000}"/>
    <cellStyle name="20% - Accent3 2 2 4 2 2 2" xfId="15937" xr:uid="{E0E15782-F913-4A3D-9751-4B34F779A8EE}"/>
    <cellStyle name="20% - Accent3 2 2 4 2 3" xfId="11719" xr:uid="{39171A0B-8CBE-4ADA-ACCC-325923669A72}"/>
    <cellStyle name="20% - Accent3 2 2 4 3" xfId="5350" xr:uid="{00000000-0005-0000-0000-00005F010000}"/>
    <cellStyle name="20% - Accent3 2 2 4 3 2" xfId="13792" xr:uid="{D5462E72-36EF-41B5-80B6-AC6AAFD66434}"/>
    <cellStyle name="20% - Accent3 2 2 4 4" xfId="9574" xr:uid="{8FD4AC1F-C72C-4ADB-A10D-B28BF749FE60}"/>
    <cellStyle name="20% - Accent3 2 2 5" xfId="1455" xr:uid="{00000000-0005-0000-0000-000060010000}"/>
    <cellStyle name="20% - Accent3 2 2 5 2" xfId="3685" xr:uid="{00000000-0005-0000-0000-000061010000}"/>
    <cellStyle name="20% - Accent3 2 2 5 2 2" xfId="7908" xr:uid="{00000000-0005-0000-0000-000062010000}"/>
    <cellStyle name="20% - Accent3 2 2 5 2 2 2" xfId="16350" xr:uid="{1718534A-E757-4838-A999-1D506B0EFB2C}"/>
    <cellStyle name="20% - Accent3 2 2 5 2 3" xfId="12132" xr:uid="{2C3585FA-231F-47FF-9B82-2C511149181C}"/>
    <cellStyle name="20% - Accent3 2 2 5 3" xfId="5763" xr:uid="{00000000-0005-0000-0000-000063010000}"/>
    <cellStyle name="20% - Accent3 2 2 5 3 2" xfId="14205" xr:uid="{86532B03-3AFA-4795-8688-D1AAF8BDBC74}"/>
    <cellStyle name="20% - Accent3 2 2 5 4" xfId="9987" xr:uid="{B9ACCCCB-906D-4EFF-876F-E2B1D006212B}"/>
    <cellStyle name="20% - Accent3 2 2 6" xfId="1869" xr:uid="{00000000-0005-0000-0000-000064010000}"/>
    <cellStyle name="20% - Accent3 2 2 6 2" xfId="4098" xr:uid="{00000000-0005-0000-0000-000065010000}"/>
    <cellStyle name="20% - Accent3 2 2 6 2 2" xfId="8321" xr:uid="{00000000-0005-0000-0000-000066010000}"/>
    <cellStyle name="20% - Accent3 2 2 6 2 2 2" xfId="16763" xr:uid="{B2240FA2-D3D1-4356-950E-9C382ED5C701}"/>
    <cellStyle name="20% - Accent3 2 2 6 2 3" xfId="12545" xr:uid="{B796AC19-A501-40E3-8A23-A5299DC82C4A}"/>
    <cellStyle name="20% - Accent3 2 2 6 3" xfId="6176" xr:uid="{00000000-0005-0000-0000-000067010000}"/>
    <cellStyle name="20% - Accent3 2 2 6 3 2" xfId="14618" xr:uid="{C07F8205-16CC-40D8-B6F2-15DBF8B1040C}"/>
    <cellStyle name="20% - Accent3 2 2 6 4" xfId="10400" xr:uid="{53E792B9-24B5-41F6-86B5-0048AC8518B4}"/>
    <cellStyle name="20% - Accent3 2 2 7" xfId="2282" xr:uid="{00000000-0005-0000-0000-000068010000}"/>
    <cellStyle name="20% - Accent3 2 2 7 2" xfId="6589" xr:uid="{00000000-0005-0000-0000-000069010000}"/>
    <cellStyle name="20% - Accent3 2 2 7 2 2" xfId="15031" xr:uid="{E5416945-91D1-4171-B8CB-93B0C708CEED}"/>
    <cellStyle name="20% - Accent3 2 2 7 3" xfId="10813" xr:uid="{AE0E3E02-CC48-4CE6-9E41-254C6B672F48}"/>
    <cellStyle name="20% - Accent3 2 2 8" xfId="4523" xr:uid="{00000000-0005-0000-0000-00006A010000}"/>
    <cellStyle name="20% - Accent3 2 2 8 2" xfId="12965" xr:uid="{C9F8F51F-10FE-4D24-B63A-D82B9D433BC0}"/>
    <cellStyle name="20% - Accent3 2 2 9" xfId="8747" xr:uid="{BE4A320F-8328-4C6F-9A4A-0F4A1B9F8646}"/>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2 2 2" xfId="15526" xr:uid="{9BAE0707-50DB-4A31-9341-2C94C962E578}"/>
    <cellStyle name="20% - Accent3 2 3 2 2 3" xfId="11308" xr:uid="{4E009ADD-FC04-417A-B85D-CE21663A362D}"/>
    <cellStyle name="20% - Accent3 2 3 2 3" xfId="4939" xr:uid="{00000000-0005-0000-0000-00006F010000}"/>
    <cellStyle name="20% - Accent3 2 3 2 3 2" xfId="13381" xr:uid="{B129FFB3-EB23-4338-8920-2EF26EC6788D}"/>
    <cellStyle name="20% - Accent3 2 3 2 4" xfId="9163" xr:uid="{30C14B91-6184-4C48-BAF6-34F48933B689}"/>
    <cellStyle name="20% - Accent3 2 3 3" xfId="1043" xr:uid="{00000000-0005-0000-0000-000070010000}"/>
    <cellStyle name="20% - Accent3 2 3 3 2" xfId="3274" xr:uid="{00000000-0005-0000-0000-000071010000}"/>
    <cellStyle name="20% - Accent3 2 3 3 2 2" xfId="7497" xr:uid="{00000000-0005-0000-0000-000072010000}"/>
    <cellStyle name="20% - Accent3 2 3 3 2 2 2" xfId="15939" xr:uid="{D66D0E78-1F40-4936-999E-A3B7CAC321DF}"/>
    <cellStyle name="20% - Accent3 2 3 3 2 3" xfId="11721" xr:uid="{DB8F529A-144E-4272-B6E6-B64EE3628BFC}"/>
    <cellStyle name="20% - Accent3 2 3 3 3" xfId="5352" xr:uid="{00000000-0005-0000-0000-000073010000}"/>
    <cellStyle name="20% - Accent3 2 3 3 3 2" xfId="13794" xr:uid="{52F5E961-2E50-407A-98D6-B84E46EDA3C0}"/>
    <cellStyle name="20% - Accent3 2 3 3 4" xfId="9576" xr:uid="{2BD739EC-3F75-400F-91D2-86399FA377E0}"/>
    <cellStyle name="20% - Accent3 2 3 4" xfId="1457" xr:uid="{00000000-0005-0000-0000-000074010000}"/>
    <cellStyle name="20% - Accent3 2 3 4 2" xfId="3687" xr:uid="{00000000-0005-0000-0000-000075010000}"/>
    <cellStyle name="20% - Accent3 2 3 4 2 2" xfId="7910" xr:uid="{00000000-0005-0000-0000-000076010000}"/>
    <cellStyle name="20% - Accent3 2 3 4 2 2 2" xfId="16352" xr:uid="{0E8D0768-6B12-4117-AE19-6C63E58E7F37}"/>
    <cellStyle name="20% - Accent3 2 3 4 2 3" xfId="12134" xr:uid="{D1BD1186-E315-4309-98FA-7CB3A9E15672}"/>
    <cellStyle name="20% - Accent3 2 3 4 3" xfId="5765" xr:uid="{00000000-0005-0000-0000-000077010000}"/>
    <cellStyle name="20% - Accent3 2 3 4 3 2" xfId="14207" xr:uid="{751D8006-CD2F-4FDA-907D-BFDF3CE71A25}"/>
    <cellStyle name="20% - Accent3 2 3 4 4" xfId="9989" xr:uid="{FBCF6662-E967-4927-8769-F0E61FB3E731}"/>
    <cellStyle name="20% - Accent3 2 3 5" xfId="1871" xr:uid="{00000000-0005-0000-0000-000078010000}"/>
    <cellStyle name="20% - Accent3 2 3 5 2" xfId="4100" xr:uid="{00000000-0005-0000-0000-000079010000}"/>
    <cellStyle name="20% - Accent3 2 3 5 2 2" xfId="8323" xr:uid="{00000000-0005-0000-0000-00007A010000}"/>
    <cellStyle name="20% - Accent3 2 3 5 2 2 2" xfId="16765" xr:uid="{FD20332C-8908-4A83-81B6-35E7A06E292A}"/>
    <cellStyle name="20% - Accent3 2 3 5 2 3" xfId="12547" xr:uid="{8F2A2176-FA88-43D8-B4BD-CFB0FABF79C2}"/>
    <cellStyle name="20% - Accent3 2 3 5 3" xfId="6178" xr:uid="{00000000-0005-0000-0000-00007B010000}"/>
    <cellStyle name="20% - Accent3 2 3 5 3 2" xfId="14620" xr:uid="{0C516DB6-1C9E-47A7-BE99-6689E1209F53}"/>
    <cellStyle name="20% - Accent3 2 3 5 4" xfId="10402" xr:uid="{14BA65D2-0C25-44F5-8628-D4AF731B20A0}"/>
    <cellStyle name="20% - Accent3 2 3 6" xfId="2284" xr:uid="{00000000-0005-0000-0000-00007C010000}"/>
    <cellStyle name="20% - Accent3 2 3 6 2" xfId="6591" xr:uid="{00000000-0005-0000-0000-00007D010000}"/>
    <cellStyle name="20% - Accent3 2 3 6 2 2" xfId="15033" xr:uid="{28327845-5710-436D-8065-C3FC055B1489}"/>
    <cellStyle name="20% - Accent3 2 3 6 3" xfId="10815" xr:uid="{F50AE810-6AA9-429E-8CF9-5B28C0D3B3C8}"/>
    <cellStyle name="20% - Accent3 2 3 7" xfId="4525" xr:uid="{00000000-0005-0000-0000-00007E010000}"/>
    <cellStyle name="20% - Accent3 2 3 7 2" xfId="12967" xr:uid="{C18241DB-0512-4801-9323-4481F01935AB}"/>
    <cellStyle name="20% - Accent3 2 3 8" xfId="8749" xr:uid="{A47244F2-3702-4B29-A17D-29E5AF0FB55D}"/>
    <cellStyle name="20% - Accent3 2 4" xfId="587" xr:uid="{00000000-0005-0000-0000-00007F010000}"/>
    <cellStyle name="20% - Accent3 2 4 2" xfId="2858" xr:uid="{00000000-0005-0000-0000-000080010000}"/>
    <cellStyle name="20% - Accent3 2 4 2 2" xfId="7081" xr:uid="{00000000-0005-0000-0000-000081010000}"/>
    <cellStyle name="20% - Accent3 2 4 2 2 2" xfId="15523" xr:uid="{F6ED3C98-CD97-48D7-88D9-9F4A40FA7837}"/>
    <cellStyle name="20% - Accent3 2 4 2 3" xfId="11305" xr:uid="{850AE5ED-559B-4736-AB9E-340C3DB6E816}"/>
    <cellStyle name="20% - Accent3 2 4 3" xfId="4936" xr:uid="{00000000-0005-0000-0000-000082010000}"/>
    <cellStyle name="20% - Accent3 2 4 3 2" xfId="13378" xr:uid="{EEDD9CA8-CBA7-428D-85D7-812B47A96B8E}"/>
    <cellStyle name="20% - Accent3 2 4 4" xfId="9160" xr:uid="{3CBB7A99-C529-4312-ADB2-7A4DC27E9B6C}"/>
    <cellStyle name="20% - Accent3 2 5" xfId="1040" xr:uid="{00000000-0005-0000-0000-000083010000}"/>
    <cellStyle name="20% - Accent3 2 5 2" xfId="3271" xr:uid="{00000000-0005-0000-0000-000084010000}"/>
    <cellStyle name="20% - Accent3 2 5 2 2" xfId="7494" xr:uid="{00000000-0005-0000-0000-000085010000}"/>
    <cellStyle name="20% - Accent3 2 5 2 2 2" xfId="15936" xr:uid="{B52CADD5-2313-4568-A753-695093A6D49F}"/>
    <cellStyle name="20% - Accent3 2 5 2 3" xfId="11718" xr:uid="{6EB7792C-C770-4089-BBB1-C5FE703882E5}"/>
    <cellStyle name="20% - Accent3 2 5 3" xfId="5349" xr:uid="{00000000-0005-0000-0000-000086010000}"/>
    <cellStyle name="20% - Accent3 2 5 3 2" xfId="13791" xr:uid="{5DE32BA2-7433-4A9C-A123-E26648DF1667}"/>
    <cellStyle name="20% - Accent3 2 5 4" xfId="9573" xr:uid="{9C51C29A-0933-4C2D-9785-7E63CA554D39}"/>
    <cellStyle name="20% - Accent3 2 6" xfId="1454" xr:uid="{00000000-0005-0000-0000-000087010000}"/>
    <cellStyle name="20% - Accent3 2 6 2" xfId="3684" xr:uid="{00000000-0005-0000-0000-000088010000}"/>
    <cellStyle name="20% - Accent3 2 6 2 2" xfId="7907" xr:uid="{00000000-0005-0000-0000-000089010000}"/>
    <cellStyle name="20% - Accent3 2 6 2 2 2" xfId="16349" xr:uid="{A393ADD5-8893-4EB8-A23B-F000C361523F}"/>
    <cellStyle name="20% - Accent3 2 6 2 3" xfId="12131" xr:uid="{CB590E5A-2DC8-4F32-8924-132BFC6DE6C5}"/>
    <cellStyle name="20% - Accent3 2 6 3" xfId="5762" xr:uid="{00000000-0005-0000-0000-00008A010000}"/>
    <cellStyle name="20% - Accent3 2 6 3 2" xfId="14204" xr:uid="{9E8240A2-4FFC-451D-A57E-E62687FD8545}"/>
    <cellStyle name="20% - Accent3 2 6 4" xfId="9986" xr:uid="{EE367A02-797A-4D20-9611-C49CDB8A08A1}"/>
    <cellStyle name="20% - Accent3 2 7" xfId="1868" xr:uid="{00000000-0005-0000-0000-00008B010000}"/>
    <cellStyle name="20% - Accent3 2 7 2" xfId="4097" xr:uid="{00000000-0005-0000-0000-00008C010000}"/>
    <cellStyle name="20% - Accent3 2 7 2 2" xfId="8320" xr:uid="{00000000-0005-0000-0000-00008D010000}"/>
    <cellStyle name="20% - Accent3 2 7 2 2 2" xfId="16762" xr:uid="{79BF494A-ADE4-4F1E-A935-D8BE7730A44E}"/>
    <cellStyle name="20% - Accent3 2 7 2 3" xfId="12544" xr:uid="{DCD2916C-0F6D-49DC-8A2D-A60E9D90B150}"/>
    <cellStyle name="20% - Accent3 2 7 3" xfId="6175" xr:uid="{00000000-0005-0000-0000-00008E010000}"/>
    <cellStyle name="20% - Accent3 2 7 3 2" xfId="14617" xr:uid="{D82F8F04-43A4-40B4-AFF8-77ABE75727E9}"/>
    <cellStyle name="20% - Accent3 2 7 4" xfId="10399" xr:uid="{213FB51A-094B-4E7F-98A0-FF1E8B4BAADC}"/>
    <cellStyle name="20% - Accent3 2 8" xfId="2281" xr:uid="{00000000-0005-0000-0000-00008F010000}"/>
    <cellStyle name="20% - Accent3 2 8 2" xfId="6588" xr:uid="{00000000-0005-0000-0000-000090010000}"/>
    <cellStyle name="20% - Accent3 2 8 2 2" xfId="15030" xr:uid="{4A6076EA-C1B9-4118-888E-CD8011C35727}"/>
    <cellStyle name="20% - Accent3 2 8 3" xfId="10812" xr:uid="{F684B3DC-3DC2-49D2-A0BC-32842F2E071F}"/>
    <cellStyle name="20% - Accent3 2 9" xfId="4522" xr:uid="{00000000-0005-0000-0000-000091010000}"/>
    <cellStyle name="20% - Accent3 2 9 2" xfId="12964" xr:uid="{4333B7E1-5B4D-4599-B979-9E917887DC48}"/>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2 2 2" xfId="15528" xr:uid="{33D89D87-FDAF-4541-8628-2A5EB55FAE4E}"/>
    <cellStyle name="20% - Accent3 3 2 2 2 3" xfId="11310" xr:uid="{B07395BA-B69D-4AB1-9D55-3BA08FE30381}"/>
    <cellStyle name="20% - Accent3 3 2 2 3" xfId="4941" xr:uid="{00000000-0005-0000-0000-000097010000}"/>
    <cellStyle name="20% - Accent3 3 2 2 3 2" xfId="13383" xr:uid="{A80B37FD-6C92-4906-BB46-F184D44B3CBB}"/>
    <cellStyle name="20% - Accent3 3 2 2 4" xfId="9165" xr:uid="{E26023E4-5590-4038-A26A-638F65B41745}"/>
    <cellStyle name="20% - Accent3 3 2 3" xfId="1045" xr:uid="{00000000-0005-0000-0000-000098010000}"/>
    <cellStyle name="20% - Accent3 3 2 3 2" xfId="3276" xr:uid="{00000000-0005-0000-0000-000099010000}"/>
    <cellStyle name="20% - Accent3 3 2 3 2 2" xfId="7499" xr:uid="{00000000-0005-0000-0000-00009A010000}"/>
    <cellStyle name="20% - Accent3 3 2 3 2 2 2" xfId="15941" xr:uid="{9037AE06-4468-47BC-B511-11498314AC1A}"/>
    <cellStyle name="20% - Accent3 3 2 3 2 3" xfId="11723" xr:uid="{FA7839FF-25D4-4CBD-8C13-C1D40C6B2D14}"/>
    <cellStyle name="20% - Accent3 3 2 3 3" xfId="5354" xr:uid="{00000000-0005-0000-0000-00009B010000}"/>
    <cellStyle name="20% - Accent3 3 2 3 3 2" xfId="13796" xr:uid="{2CBC12D2-2E43-4A00-B9C8-AEA89B22E6E7}"/>
    <cellStyle name="20% - Accent3 3 2 3 4" xfId="9578" xr:uid="{26881ED5-7EA7-4FB1-ABA4-3A6D673869CB}"/>
    <cellStyle name="20% - Accent3 3 2 4" xfId="1459" xr:uid="{00000000-0005-0000-0000-00009C010000}"/>
    <cellStyle name="20% - Accent3 3 2 4 2" xfId="3689" xr:uid="{00000000-0005-0000-0000-00009D010000}"/>
    <cellStyle name="20% - Accent3 3 2 4 2 2" xfId="7912" xr:uid="{00000000-0005-0000-0000-00009E010000}"/>
    <cellStyle name="20% - Accent3 3 2 4 2 2 2" xfId="16354" xr:uid="{0D730231-FDD9-441C-B411-D342B08B7457}"/>
    <cellStyle name="20% - Accent3 3 2 4 2 3" xfId="12136" xr:uid="{A2FBDE00-08E6-4738-A662-B55637CB8A74}"/>
    <cellStyle name="20% - Accent3 3 2 4 3" xfId="5767" xr:uid="{00000000-0005-0000-0000-00009F010000}"/>
    <cellStyle name="20% - Accent3 3 2 4 3 2" xfId="14209" xr:uid="{EC627FB5-5F01-4AFA-A213-8AC015EB57DE}"/>
    <cellStyle name="20% - Accent3 3 2 4 4" xfId="9991" xr:uid="{6D5499B6-EF34-4F71-B90D-9E73286652D5}"/>
    <cellStyle name="20% - Accent3 3 2 5" xfId="1873" xr:uid="{00000000-0005-0000-0000-0000A0010000}"/>
    <cellStyle name="20% - Accent3 3 2 5 2" xfId="4102" xr:uid="{00000000-0005-0000-0000-0000A1010000}"/>
    <cellStyle name="20% - Accent3 3 2 5 2 2" xfId="8325" xr:uid="{00000000-0005-0000-0000-0000A2010000}"/>
    <cellStyle name="20% - Accent3 3 2 5 2 2 2" xfId="16767" xr:uid="{04ABC8DC-73FE-46F8-B50C-38C1F3B8DFD5}"/>
    <cellStyle name="20% - Accent3 3 2 5 2 3" xfId="12549" xr:uid="{6E04E0DF-4051-433B-A4E3-B7594553D1A9}"/>
    <cellStyle name="20% - Accent3 3 2 5 3" xfId="6180" xr:uid="{00000000-0005-0000-0000-0000A3010000}"/>
    <cellStyle name="20% - Accent3 3 2 5 3 2" xfId="14622" xr:uid="{E1BC6DC2-73E9-406C-A9AE-C7947694BF0A}"/>
    <cellStyle name="20% - Accent3 3 2 5 4" xfId="10404" xr:uid="{A6715E64-5AAB-45C6-8D6D-10FEFA2A4666}"/>
    <cellStyle name="20% - Accent3 3 2 6" xfId="2286" xr:uid="{00000000-0005-0000-0000-0000A4010000}"/>
    <cellStyle name="20% - Accent3 3 2 6 2" xfId="6593" xr:uid="{00000000-0005-0000-0000-0000A5010000}"/>
    <cellStyle name="20% - Accent3 3 2 6 2 2" xfId="15035" xr:uid="{41BBB600-54D9-46CA-BC7A-191B817C13A9}"/>
    <cellStyle name="20% - Accent3 3 2 6 3" xfId="10817" xr:uid="{3BDE9809-944A-4C0A-BD5B-9B1C447F2806}"/>
    <cellStyle name="20% - Accent3 3 2 7" xfId="4527" xr:uid="{00000000-0005-0000-0000-0000A6010000}"/>
    <cellStyle name="20% - Accent3 3 2 7 2" xfId="12969" xr:uid="{0DC604CE-91BF-45B8-B798-9A09C34622F7}"/>
    <cellStyle name="20% - Accent3 3 2 8" xfId="8751" xr:uid="{A8831D4E-E612-4A24-B8E9-972DAAEDA0BE}"/>
    <cellStyle name="20% - Accent3 3 3" xfId="591" xr:uid="{00000000-0005-0000-0000-0000A7010000}"/>
    <cellStyle name="20% - Accent3 3 3 2" xfId="2862" xr:uid="{00000000-0005-0000-0000-0000A8010000}"/>
    <cellStyle name="20% - Accent3 3 3 2 2" xfId="7085" xr:uid="{00000000-0005-0000-0000-0000A9010000}"/>
    <cellStyle name="20% - Accent3 3 3 2 2 2" xfId="15527" xr:uid="{BCAAC525-01A1-4C99-9F0C-F5FB11785F6C}"/>
    <cellStyle name="20% - Accent3 3 3 2 3" xfId="11309" xr:uid="{B2B03BF0-A6DF-4A13-B3C9-F1122987277B}"/>
    <cellStyle name="20% - Accent3 3 3 3" xfId="4940" xr:uid="{00000000-0005-0000-0000-0000AA010000}"/>
    <cellStyle name="20% - Accent3 3 3 3 2" xfId="13382" xr:uid="{36193560-EFE8-4388-ACCF-53D519723890}"/>
    <cellStyle name="20% - Accent3 3 3 4" xfId="9164" xr:uid="{4D11D0DA-E913-40AA-85EB-480A46280FD1}"/>
    <cellStyle name="20% - Accent3 3 4" xfId="1044" xr:uid="{00000000-0005-0000-0000-0000AB010000}"/>
    <cellStyle name="20% - Accent3 3 4 2" xfId="3275" xr:uid="{00000000-0005-0000-0000-0000AC010000}"/>
    <cellStyle name="20% - Accent3 3 4 2 2" xfId="7498" xr:uid="{00000000-0005-0000-0000-0000AD010000}"/>
    <cellStyle name="20% - Accent3 3 4 2 2 2" xfId="15940" xr:uid="{90B7C18E-D0B0-4DDB-A430-2085807AFA99}"/>
    <cellStyle name="20% - Accent3 3 4 2 3" xfId="11722" xr:uid="{E16F3B15-8612-4043-A079-DD452E29A8FE}"/>
    <cellStyle name="20% - Accent3 3 4 3" xfId="5353" xr:uid="{00000000-0005-0000-0000-0000AE010000}"/>
    <cellStyle name="20% - Accent3 3 4 3 2" xfId="13795" xr:uid="{77082CF9-C131-4F8A-92AE-DC9A31AE37F6}"/>
    <cellStyle name="20% - Accent3 3 4 4" xfId="9577" xr:uid="{F067678B-5293-48A0-A7B9-0D6DF88506DE}"/>
    <cellStyle name="20% - Accent3 3 5" xfId="1458" xr:uid="{00000000-0005-0000-0000-0000AF010000}"/>
    <cellStyle name="20% - Accent3 3 5 2" xfId="3688" xr:uid="{00000000-0005-0000-0000-0000B0010000}"/>
    <cellStyle name="20% - Accent3 3 5 2 2" xfId="7911" xr:uid="{00000000-0005-0000-0000-0000B1010000}"/>
    <cellStyle name="20% - Accent3 3 5 2 2 2" xfId="16353" xr:uid="{6266E261-78E6-4B95-9B68-1258EBCEE78B}"/>
    <cellStyle name="20% - Accent3 3 5 2 3" xfId="12135" xr:uid="{048C2480-D5A5-4DCD-B176-F532C1955184}"/>
    <cellStyle name="20% - Accent3 3 5 3" xfId="5766" xr:uid="{00000000-0005-0000-0000-0000B2010000}"/>
    <cellStyle name="20% - Accent3 3 5 3 2" xfId="14208" xr:uid="{BFC3CA0B-1EDF-4A7F-92B4-8B264124AD8C}"/>
    <cellStyle name="20% - Accent3 3 5 4" xfId="9990" xr:uid="{72E89584-8D7A-415B-AE3F-D1FFB7C863DC}"/>
    <cellStyle name="20% - Accent3 3 6" xfId="1872" xr:uid="{00000000-0005-0000-0000-0000B3010000}"/>
    <cellStyle name="20% - Accent3 3 6 2" xfId="4101" xr:uid="{00000000-0005-0000-0000-0000B4010000}"/>
    <cellStyle name="20% - Accent3 3 6 2 2" xfId="8324" xr:uid="{00000000-0005-0000-0000-0000B5010000}"/>
    <cellStyle name="20% - Accent3 3 6 2 2 2" xfId="16766" xr:uid="{50A308B2-0763-4A77-871B-DA2E63C20B91}"/>
    <cellStyle name="20% - Accent3 3 6 2 3" xfId="12548" xr:uid="{8A7AD952-4534-416D-A986-7360B7D47AFE}"/>
    <cellStyle name="20% - Accent3 3 6 3" xfId="6179" xr:uid="{00000000-0005-0000-0000-0000B6010000}"/>
    <cellStyle name="20% - Accent3 3 6 3 2" xfId="14621" xr:uid="{B32DFF3F-C805-4686-852E-72A4A417C345}"/>
    <cellStyle name="20% - Accent3 3 6 4" xfId="10403" xr:uid="{393CA5F3-8BED-4C88-BE76-8B4ACB5E4717}"/>
    <cellStyle name="20% - Accent3 3 7" xfId="2285" xr:uid="{00000000-0005-0000-0000-0000B7010000}"/>
    <cellStyle name="20% - Accent3 3 7 2" xfId="6592" xr:uid="{00000000-0005-0000-0000-0000B8010000}"/>
    <cellStyle name="20% - Accent3 3 7 2 2" xfId="15034" xr:uid="{20123879-E6F7-4AC8-952E-E2B42C56A00A}"/>
    <cellStyle name="20% - Accent3 3 7 3" xfId="10816" xr:uid="{ACAEE753-342C-40BF-A0C0-E32189F93105}"/>
    <cellStyle name="20% - Accent3 3 8" xfId="4526" xr:uid="{00000000-0005-0000-0000-0000B9010000}"/>
    <cellStyle name="20% - Accent3 3 8 2" xfId="12968" xr:uid="{F2DB2119-DE0A-4E90-A983-D32011111F61}"/>
    <cellStyle name="20% - Accent3 3 9" xfId="8750" xr:uid="{3E35FFEA-081C-4E58-BDF2-3712EDF4E335}"/>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2 2 2" xfId="15529" xr:uid="{49BB067E-03BB-4CF9-B8A2-45730886FB03}"/>
    <cellStyle name="20% - Accent3 4 2 2 3" xfId="11311" xr:uid="{EE19E49F-8EDC-40EC-9184-3807B3528D68}"/>
    <cellStyle name="20% - Accent3 4 2 3" xfId="4942" xr:uid="{00000000-0005-0000-0000-0000BE010000}"/>
    <cellStyle name="20% - Accent3 4 2 3 2" xfId="13384" xr:uid="{1385EA69-5119-4E9F-ACCB-089C8C023A39}"/>
    <cellStyle name="20% - Accent3 4 2 4" xfId="9166" xr:uid="{F9B81FFA-E224-430C-9C1E-8E0CABE3130B}"/>
    <cellStyle name="20% - Accent3 4 3" xfId="1046" xr:uid="{00000000-0005-0000-0000-0000BF010000}"/>
    <cellStyle name="20% - Accent3 4 3 2" xfId="3277" xr:uid="{00000000-0005-0000-0000-0000C0010000}"/>
    <cellStyle name="20% - Accent3 4 3 2 2" xfId="7500" xr:uid="{00000000-0005-0000-0000-0000C1010000}"/>
    <cellStyle name="20% - Accent3 4 3 2 2 2" xfId="15942" xr:uid="{B7318BEE-4653-45C5-B5A8-0A465783C9D9}"/>
    <cellStyle name="20% - Accent3 4 3 2 3" xfId="11724" xr:uid="{80EA0846-0DE0-42EB-A147-B41312E1B9A6}"/>
    <cellStyle name="20% - Accent3 4 3 3" xfId="5355" xr:uid="{00000000-0005-0000-0000-0000C2010000}"/>
    <cellStyle name="20% - Accent3 4 3 3 2" xfId="13797" xr:uid="{C61B78D2-C477-467A-83B0-608E94CE6623}"/>
    <cellStyle name="20% - Accent3 4 3 4" xfId="9579" xr:uid="{9EF8CD5C-42E5-4C3C-8B8A-6288093E448C}"/>
    <cellStyle name="20% - Accent3 4 4" xfId="1460" xr:uid="{00000000-0005-0000-0000-0000C3010000}"/>
    <cellStyle name="20% - Accent3 4 4 2" xfId="3690" xr:uid="{00000000-0005-0000-0000-0000C4010000}"/>
    <cellStyle name="20% - Accent3 4 4 2 2" xfId="7913" xr:uid="{00000000-0005-0000-0000-0000C5010000}"/>
    <cellStyle name="20% - Accent3 4 4 2 2 2" xfId="16355" xr:uid="{B22E8806-F77A-4CDE-9920-BC0B576308BC}"/>
    <cellStyle name="20% - Accent3 4 4 2 3" xfId="12137" xr:uid="{14BF3C36-DCB9-45DD-ACF4-DB2360A3B422}"/>
    <cellStyle name="20% - Accent3 4 4 3" xfId="5768" xr:uid="{00000000-0005-0000-0000-0000C6010000}"/>
    <cellStyle name="20% - Accent3 4 4 3 2" xfId="14210" xr:uid="{2F91B3E2-1C3D-48EC-80C1-E3A5E03A8E7F}"/>
    <cellStyle name="20% - Accent3 4 4 4" xfId="9992" xr:uid="{39C13526-322E-4D24-B62B-42F3E678AB23}"/>
    <cellStyle name="20% - Accent3 4 5" xfId="1874" xr:uid="{00000000-0005-0000-0000-0000C7010000}"/>
    <cellStyle name="20% - Accent3 4 5 2" xfId="4103" xr:uid="{00000000-0005-0000-0000-0000C8010000}"/>
    <cellStyle name="20% - Accent3 4 5 2 2" xfId="8326" xr:uid="{00000000-0005-0000-0000-0000C9010000}"/>
    <cellStyle name="20% - Accent3 4 5 2 2 2" xfId="16768" xr:uid="{40956C76-6156-4FB5-B8EE-D8888C8471CC}"/>
    <cellStyle name="20% - Accent3 4 5 2 3" xfId="12550" xr:uid="{79E94B1F-56BF-41D9-971F-05076E9ABD27}"/>
    <cellStyle name="20% - Accent3 4 5 3" xfId="6181" xr:uid="{00000000-0005-0000-0000-0000CA010000}"/>
    <cellStyle name="20% - Accent3 4 5 3 2" xfId="14623" xr:uid="{BACBF847-0626-4F44-9D1D-7EFFFA772AC9}"/>
    <cellStyle name="20% - Accent3 4 5 4" xfId="10405" xr:uid="{D156CE9E-9FA3-4D1C-BD73-8420141A1424}"/>
    <cellStyle name="20% - Accent3 4 6" xfId="2287" xr:uid="{00000000-0005-0000-0000-0000CB010000}"/>
    <cellStyle name="20% - Accent3 4 6 2" xfId="6594" xr:uid="{00000000-0005-0000-0000-0000CC010000}"/>
    <cellStyle name="20% - Accent3 4 6 2 2" xfId="15036" xr:uid="{A1F88EB4-2D4D-4843-B086-1DA2700D2434}"/>
    <cellStyle name="20% - Accent3 4 6 3" xfId="10818" xr:uid="{01D249D2-6F82-4D60-A362-B0A61494C72E}"/>
    <cellStyle name="20% - Accent3 4 7" xfId="4528" xr:uid="{00000000-0005-0000-0000-0000CD010000}"/>
    <cellStyle name="20% - Accent3 4 7 2" xfId="12970" xr:uid="{6343C7C5-A90E-4BC3-A14D-58CACE269C25}"/>
    <cellStyle name="20% - Accent3 4 8" xfId="8752" xr:uid="{05E331B6-AEE9-4EF7-B662-85F7CE101E32}"/>
    <cellStyle name="20% - Accent3 5" xfId="586" xr:uid="{00000000-0005-0000-0000-0000CE010000}"/>
    <cellStyle name="20% - Accent3 5 2" xfId="2857" xr:uid="{00000000-0005-0000-0000-0000CF010000}"/>
    <cellStyle name="20% - Accent3 5 2 2" xfId="7080" xr:uid="{00000000-0005-0000-0000-0000D0010000}"/>
    <cellStyle name="20% - Accent3 5 2 2 2" xfId="15522" xr:uid="{5BB3263D-6CC8-4F10-B050-8CC7F488154C}"/>
    <cellStyle name="20% - Accent3 5 2 3" xfId="11304" xr:uid="{796DBC41-5FC9-4DFD-896A-94490D19150E}"/>
    <cellStyle name="20% - Accent3 5 3" xfId="4935" xr:uid="{00000000-0005-0000-0000-0000D1010000}"/>
    <cellStyle name="20% - Accent3 5 3 2" xfId="13377" xr:uid="{27FFEB8E-D494-462D-A576-5FAF02286B9E}"/>
    <cellStyle name="20% - Accent3 5 4" xfId="9159" xr:uid="{BDD21CA0-EE6B-4926-A35B-A2CC0699BA80}"/>
    <cellStyle name="20% - Accent3 6" xfId="1039" xr:uid="{00000000-0005-0000-0000-0000D2010000}"/>
    <cellStyle name="20% - Accent3 6 2" xfId="3270" xr:uid="{00000000-0005-0000-0000-0000D3010000}"/>
    <cellStyle name="20% - Accent3 6 2 2" xfId="7493" xr:uid="{00000000-0005-0000-0000-0000D4010000}"/>
    <cellStyle name="20% - Accent3 6 2 2 2" xfId="15935" xr:uid="{B7581601-3FF9-429F-9C31-A7262C9B8EC0}"/>
    <cellStyle name="20% - Accent3 6 2 3" xfId="11717" xr:uid="{81C38976-D34A-483B-A094-56AC7E03356E}"/>
    <cellStyle name="20% - Accent3 6 3" xfId="5348" xr:uid="{00000000-0005-0000-0000-0000D5010000}"/>
    <cellStyle name="20% - Accent3 6 3 2" xfId="13790" xr:uid="{08F7A3C2-09ED-43E4-A80F-C4550014DFEF}"/>
    <cellStyle name="20% - Accent3 6 4" xfId="9572" xr:uid="{DD74E86F-A712-4328-A5CD-0A7960A46653}"/>
    <cellStyle name="20% - Accent3 7" xfId="1453" xr:uid="{00000000-0005-0000-0000-0000D6010000}"/>
    <cellStyle name="20% - Accent3 7 2" xfId="3683" xr:uid="{00000000-0005-0000-0000-0000D7010000}"/>
    <cellStyle name="20% - Accent3 7 2 2" xfId="7906" xr:uid="{00000000-0005-0000-0000-0000D8010000}"/>
    <cellStyle name="20% - Accent3 7 2 2 2" xfId="16348" xr:uid="{CE781570-981F-4297-9015-439353F1A387}"/>
    <cellStyle name="20% - Accent3 7 2 3" xfId="12130" xr:uid="{C9FFDEC3-61B9-430B-ACBA-B0FD0A4B73C9}"/>
    <cellStyle name="20% - Accent3 7 3" xfId="5761" xr:uid="{00000000-0005-0000-0000-0000D9010000}"/>
    <cellStyle name="20% - Accent3 7 3 2" xfId="14203" xr:uid="{16F2D74C-453F-49F0-A1D1-655495943621}"/>
    <cellStyle name="20% - Accent3 7 4" xfId="9985" xr:uid="{0A812EB2-30D4-445E-B12D-D252E1FD8AD4}"/>
    <cellStyle name="20% - Accent3 8" xfId="1867" xr:uid="{00000000-0005-0000-0000-0000DA010000}"/>
    <cellStyle name="20% - Accent3 8 2" xfId="4096" xr:uid="{00000000-0005-0000-0000-0000DB010000}"/>
    <cellStyle name="20% - Accent3 8 2 2" xfId="8319" xr:uid="{00000000-0005-0000-0000-0000DC010000}"/>
    <cellStyle name="20% - Accent3 8 2 2 2" xfId="16761" xr:uid="{C132B7F9-2E97-40C6-A2FB-6D160CF8B07C}"/>
    <cellStyle name="20% - Accent3 8 2 3" xfId="12543" xr:uid="{FFE42308-3036-4897-91B2-3FB4C22EE5B0}"/>
    <cellStyle name="20% - Accent3 8 3" xfId="6174" xr:uid="{00000000-0005-0000-0000-0000DD010000}"/>
    <cellStyle name="20% - Accent3 8 3 2" xfId="14616" xr:uid="{072E2F62-42D7-4DF9-945A-895BF4A2761E}"/>
    <cellStyle name="20% - Accent3 8 4" xfId="10398" xr:uid="{FA72A1B5-906E-4BA0-86E4-1F6713844854}"/>
    <cellStyle name="20% - Accent3 9" xfId="2280" xr:uid="{00000000-0005-0000-0000-0000DE010000}"/>
    <cellStyle name="20% - Accent3 9 2" xfId="6587" xr:uid="{00000000-0005-0000-0000-0000DF010000}"/>
    <cellStyle name="20% - Accent3 9 2 2" xfId="15029" xr:uid="{8F0EB3CC-6DAF-4D34-A176-E1C492C1D18F}"/>
    <cellStyle name="20% - Accent3 9 3" xfId="10811" xr:uid="{2A216695-F7FE-446E-8DEB-5FCE1EF13BFB}"/>
    <cellStyle name="20% - Accent4" xfId="25" builtinId="42" customBuiltin="1"/>
    <cellStyle name="20% - Accent4 10" xfId="4529" xr:uid="{00000000-0005-0000-0000-0000E1010000}"/>
    <cellStyle name="20% - Accent4 10 2" xfId="12971" xr:uid="{D87D95F3-B3E3-4F34-B621-3A6055C6721A}"/>
    <cellStyle name="20% - Accent4 11" xfId="8753" xr:uid="{35C9C52E-FF95-43EF-A6DE-A6C443DBC0BA}"/>
    <cellStyle name="20% - Accent4 2" xfId="26" xr:uid="{00000000-0005-0000-0000-0000E2010000}"/>
    <cellStyle name="20% - Accent4 2 10" xfId="8754" xr:uid="{4FF53894-516A-49F3-B049-7F34CCA64AB5}"/>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2 2 2" xfId="15533" xr:uid="{B6D2B274-0324-47AD-AD3D-D9941A1925DB}"/>
    <cellStyle name="20% - Accent4 2 2 2 2 2 3" xfId="11315" xr:uid="{C4A87979-B670-42EC-8FFA-72ABE98A777A}"/>
    <cellStyle name="20% - Accent4 2 2 2 2 3" xfId="4946" xr:uid="{00000000-0005-0000-0000-0000E8010000}"/>
    <cellStyle name="20% - Accent4 2 2 2 2 3 2" xfId="13388" xr:uid="{4201A2C4-6930-4BA0-9B2E-2D3D4B6DEAC0}"/>
    <cellStyle name="20% - Accent4 2 2 2 2 4" xfId="9170" xr:uid="{D2BF2C87-D7FA-4ABF-8E69-DDBACB318C09}"/>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2 2 2" xfId="15946" xr:uid="{C30A09F4-3D30-4F59-8666-7CE731EDA5F3}"/>
    <cellStyle name="20% - Accent4 2 2 2 3 2 3" xfId="11728" xr:uid="{586F81C0-23BB-4A75-9DC3-2FA9F01771F0}"/>
    <cellStyle name="20% - Accent4 2 2 2 3 3" xfId="5359" xr:uid="{00000000-0005-0000-0000-0000EC010000}"/>
    <cellStyle name="20% - Accent4 2 2 2 3 3 2" xfId="13801" xr:uid="{63BE8342-65C8-454D-A6B2-9520284C5657}"/>
    <cellStyle name="20% - Accent4 2 2 2 3 4" xfId="9583" xr:uid="{6B1FBA1A-9009-44A2-98FB-FB687243840E}"/>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2 2 2" xfId="16359" xr:uid="{4FAE57FF-9AE3-4480-9FEE-8F995462ADF6}"/>
    <cellStyle name="20% - Accent4 2 2 2 4 2 3" xfId="12141" xr:uid="{75CD5B7F-1C11-44E2-B25D-694902116F4D}"/>
    <cellStyle name="20% - Accent4 2 2 2 4 3" xfId="5772" xr:uid="{00000000-0005-0000-0000-0000F0010000}"/>
    <cellStyle name="20% - Accent4 2 2 2 4 3 2" xfId="14214" xr:uid="{793F74C2-D0A4-4E19-A361-AFB4EAAFB4CD}"/>
    <cellStyle name="20% - Accent4 2 2 2 4 4" xfId="9996" xr:uid="{62FB502D-7733-46EB-983B-D3B2CA88030A}"/>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2 2 2" xfId="16772" xr:uid="{EA81EC11-B285-4816-BE5D-1BE99D842C59}"/>
    <cellStyle name="20% - Accent4 2 2 2 5 2 3" xfId="12554" xr:uid="{0EDAC945-7D3C-479C-B4EE-D62121778172}"/>
    <cellStyle name="20% - Accent4 2 2 2 5 3" xfId="6185" xr:uid="{00000000-0005-0000-0000-0000F4010000}"/>
    <cellStyle name="20% - Accent4 2 2 2 5 3 2" xfId="14627" xr:uid="{02269D77-4794-41E5-8F13-B291E0624E57}"/>
    <cellStyle name="20% - Accent4 2 2 2 5 4" xfId="10409" xr:uid="{E8B30D3D-5438-44E0-8333-E97123C76444}"/>
    <cellStyle name="20% - Accent4 2 2 2 6" xfId="2291" xr:uid="{00000000-0005-0000-0000-0000F5010000}"/>
    <cellStyle name="20% - Accent4 2 2 2 6 2" xfId="6598" xr:uid="{00000000-0005-0000-0000-0000F6010000}"/>
    <cellStyle name="20% - Accent4 2 2 2 6 2 2" xfId="15040" xr:uid="{01EFA792-67E1-49EC-A4BC-8B9C2E4C4946}"/>
    <cellStyle name="20% - Accent4 2 2 2 6 3" xfId="10822" xr:uid="{4D3108A7-163A-4107-B551-9F1C47042CCA}"/>
    <cellStyle name="20% - Accent4 2 2 2 7" xfId="4532" xr:uid="{00000000-0005-0000-0000-0000F7010000}"/>
    <cellStyle name="20% - Accent4 2 2 2 7 2" xfId="12974" xr:uid="{A47EBB8C-2744-46AB-9DCD-3585A8AC78D6}"/>
    <cellStyle name="20% - Accent4 2 2 2 8" xfId="8756" xr:uid="{AFDEC12E-8FB0-4B3E-9D23-C892B3E3F2BB}"/>
    <cellStyle name="20% - Accent4 2 2 3" xfId="596" xr:uid="{00000000-0005-0000-0000-0000F8010000}"/>
    <cellStyle name="20% - Accent4 2 2 3 2" xfId="2867" xr:uid="{00000000-0005-0000-0000-0000F9010000}"/>
    <cellStyle name="20% - Accent4 2 2 3 2 2" xfId="7090" xr:uid="{00000000-0005-0000-0000-0000FA010000}"/>
    <cellStyle name="20% - Accent4 2 2 3 2 2 2" xfId="15532" xr:uid="{6C6516EA-373B-43BB-8F3B-D94F396E3CE5}"/>
    <cellStyle name="20% - Accent4 2 2 3 2 3" xfId="11314" xr:uid="{EF1ED68A-6348-4481-BDFB-136FEE409D3C}"/>
    <cellStyle name="20% - Accent4 2 2 3 3" xfId="4945" xr:uid="{00000000-0005-0000-0000-0000FB010000}"/>
    <cellStyle name="20% - Accent4 2 2 3 3 2" xfId="13387" xr:uid="{32075422-2B4C-4A35-B3BF-6F2BA16660EA}"/>
    <cellStyle name="20% - Accent4 2 2 3 4" xfId="9169" xr:uid="{920CD996-AB2D-4711-92E6-CCB40BA86B27}"/>
    <cellStyle name="20% - Accent4 2 2 4" xfId="1049" xr:uid="{00000000-0005-0000-0000-0000FC010000}"/>
    <cellStyle name="20% - Accent4 2 2 4 2" xfId="3280" xr:uid="{00000000-0005-0000-0000-0000FD010000}"/>
    <cellStyle name="20% - Accent4 2 2 4 2 2" xfId="7503" xr:uid="{00000000-0005-0000-0000-0000FE010000}"/>
    <cellStyle name="20% - Accent4 2 2 4 2 2 2" xfId="15945" xr:uid="{715A1AC0-81CD-47F1-971B-94E78629C784}"/>
    <cellStyle name="20% - Accent4 2 2 4 2 3" xfId="11727" xr:uid="{9B6EBB6A-5EF6-4C96-A1C4-97E957ED8F46}"/>
    <cellStyle name="20% - Accent4 2 2 4 3" xfId="5358" xr:uid="{00000000-0005-0000-0000-0000FF010000}"/>
    <cellStyle name="20% - Accent4 2 2 4 3 2" xfId="13800" xr:uid="{ABCB56A9-8AC3-4DB7-8A0D-0F31269D7626}"/>
    <cellStyle name="20% - Accent4 2 2 4 4" xfId="9582" xr:uid="{3D712592-6082-4653-9D83-CC3978C76EB7}"/>
    <cellStyle name="20% - Accent4 2 2 5" xfId="1463" xr:uid="{00000000-0005-0000-0000-000000020000}"/>
    <cellStyle name="20% - Accent4 2 2 5 2" xfId="3693" xr:uid="{00000000-0005-0000-0000-000001020000}"/>
    <cellStyle name="20% - Accent4 2 2 5 2 2" xfId="7916" xr:uid="{00000000-0005-0000-0000-000002020000}"/>
    <cellStyle name="20% - Accent4 2 2 5 2 2 2" xfId="16358" xr:uid="{D0541B11-27C6-45EA-A527-BA88383E6B05}"/>
    <cellStyle name="20% - Accent4 2 2 5 2 3" xfId="12140" xr:uid="{706FB061-E9E4-49E9-ACF6-765293546D1C}"/>
    <cellStyle name="20% - Accent4 2 2 5 3" xfId="5771" xr:uid="{00000000-0005-0000-0000-000003020000}"/>
    <cellStyle name="20% - Accent4 2 2 5 3 2" xfId="14213" xr:uid="{FEA77CF3-0527-4E2A-8EA5-B780E7B134AD}"/>
    <cellStyle name="20% - Accent4 2 2 5 4" xfId="9995" xr:uid="{EC6AAD49-A7DE-48E0-BC85-9892F575FEA4}"/>
    <cellStyle name="20% - Accent4 2 2 6" xfId="1877" xr:uid="{00000000-0005-0000-0000-000004020000}"/>
    <cellStyle name="20% - Accent4 2 2 6 2" xfId="4106" xr:uid="{00000000-0005-0000-0000-000005020000}"/>
    <cellStyle name="20% - Accent4 2 2 6 2 2" xfId="8329" xr:uid="{00000000-0005-0000-0000-000006020000}"/>
    <cellStyle name="20% - Accent4 2 2 6 2 2 2" xfId="16771" xr:uid="{A90BF035-2B60-41F4-B549-DD506CAB7302}"/>
    <cellStyle name="20% - Accent4 2 2 6 2 3" xfId="12553" xr:uid="{6E7CA6F2-4853-462D-A909-997A57F53E8C}"/>
    <cellStyle name="20% - Accent4 2 2 6 3" xfId="6184" xr:uid="{00000000-0005-0000-0000-000007020000}"/>
    <cellStyle name="20% - Accent4 2 2 6 3 2" xfId="14626" xr:uid="{DCD1A88F-96F3-434F-B366-10F26509A1BA}"/>
    <cellStyle name="20% - Accent4 2 2 6 4" xfId="10408" xr:uid="{AEBB21EE-BD49-4F02-9F0D-D471A23E73F5}"/>
    <cellStyle name="20% - Accent4 2 2 7" xfId="2290" xr:uid="{00000000-0005-0000-0000-000008020000}"/>
    <cellStyle name="20% - Accent4 2 2 7 2" xfId="6597" xr:uid="{00000000-0005-0000-0000-000009020000}"/>
    <cellStyle name="20% - Accent4 2 2 7 2 2" xfId="15039" xr:uid="{D42767BE-7A5A-412D-9121-617B62FFD227}"/>
    <cellStyle name="20% - Accent4 2 2 7 3" xfId="10821" xr:uid="{A7828714-C647-4673-8D13-70CB863E198B}"/>
    <cellStyle name="20% - Accent4 2 2 8" xfId="4531" xr:uid="{00000000-0005-0000-0000-00000A020000}"/>
    <cellStyle name="20% - Accent4 2 2 8 2" xfId="12973" xr:uid="{3E0C6ABB-81E1-47F7-BDA7-F88DB9C33482}"/>
    <cellStyle name="20% - Accent4 2 2 9" xfId="8755" xr:uid="{2FFC8351-CF60-4B70-B40F-441E946AE85F}"/>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2 2 2" xfId="15534" xr:uid="{66A588B9-866A-462A-BC44-CFECD85F467E}"/>
    <cellStyle name="20% - Accent4 2 3 2 2 3" xfId="11316" xr:uid="{41836763-0A65-485E-AB50-7487C2698366}"/>
    <cellStyle name="20% - Accent4 2 3 2 3" xfId="4947" xr:uid="{00000000-0005-0000-0000-00000F020000}"/>
    <cellStyle name="20% - Accent4 2 3 2 3 2" xfId="13389" xr:uid="{20759034-8B7A-4AE7-8844-E8D48FFF43B4}"/>
    <cellStyle name="20% - Accent4 2 3 2 4" xfId="9171" xr:uid="{177E64A0-FB29-48C0-83A8-7C01ECDE583F}"/>
    <cellStyle name="20% - Accent4 2 3 3" xfId="1051" xr:uid="{00000000-0005-0000-0000-000010020000}"/>
    <cellStyle name="20% - Accent4 2 3 3 2" xfId="3282" xr:uid="{00000000-0005-0000-0000-000011020000}"/>
    <cellStyle name="20% - Accent4 2 3 3 2 2" xfId="7505" xr:uid="{00000000-0005-0000-0000-000012020000}"/>
    <cellStyle name="20% - Accent4 2 3 3 2 2 2" xfId="15947" xr:uid="{CDAED25C-7CDD-4D55-B7E7-8ADDBE04ED2A}"/>
    <cellStyle name="20% - Accent4 2 3 3 2 3" xfId="11729" xr:uid="{E3C03E27-9DEA-4772-AB11-068C71350DAF}"/>
    <cellStyle name="20% - Accent4 2 3 3 3" xfId="5360" xr:uid="{00000000-0005-0000-0000-000013020000}"/>
    <cellStyle name="20% - Accent4 2 3 3 3 2" xfId="13802" xr:uid="{46766508-E065-4FF0-B791-8027A026EF50}"/>
    <cellStyle name="20% - Accent4 2 3 3 4" xfId="9584" xr:uid="{1C56BDB8-E40C-477A-B26D-DC76D66B955C}"/>
    <cellStyle name="20% - Accent4 2 3 4" xfId="1465" xr:uid="{00000000-0005-0000-0000-000014020000}"/>
    <cellStyle name="20% - Accent4 2 3 4 2" xfId="3695" xr:uid="{00000000-0005-0000-0000-000015020000}"/>
    <cellStyle name="20% - Accent4 2 3 4 2 2" xfId="7918" xr:uid="{00000000-0005-0000-0000-000016020000}"/>
    <cellStyle name="20% - Accent4 2 3 4 2 2 2" xfId="16360" xr:uid="{E3183D33-4FE1-4152-A796-5A45E036D7F4}"/>
    <cellStyle name="20% - Accent4 2 3 4 2 3" xfId="12142" xr:uid="{89E4E7D1-F8D4-4DD5-B2F1-833ACBDA6E40}"/>
    <cellStyle name="20% - Accent4 2 3 4 3" xfId="5773" xr:uid="{00000000-0005-0000-0000-000017020000}"/>
    <cellStyle name="20% - Accent4 2 3 4 3 2" xfId="14215" xr:uid="{4573ACFD-2748-4341-BFF2-34096733CB8E}"/>
    <cellStyle name="20% - Accent4 2 3 4 4" xfId="9997" xr:uid="{12AE3CED-9601-43A2-AF2D-39E82155B08B}"/>
    <cellStyle name="20% - Accent4 2 3 5" xfId="1879" xr:uid="{00000000-0005-0000-0000-000018020000}"/>
    <cellStyle name="20% - Accent4 2 3 5 2" xfId="4108" xr:uid="{00000000-0005-0000-0000-000019020000}"/>
    <cellStyle name="20% - Accent4 2 3 5 2 2" xfId="8331" xr:uid="{00000000-0005-0000-0000-00001A020000}"/>
    <cellStyle name="20% - Accent4 2 3 5 2 2 2" xfId="16773" xr:uid="{7E41BCA6-3924-4D62-8715-1A5129ABF78A}"/>
    <cellStyle name="20% - Accent4 2 3 5 2 3" xfId="12555" xr:uid="{46A56F91-7E81-48BE-A93A-5E3B6162A54B}"/>
    <cellStyle name="20% - Accent4 2 3 5 3" xfId="6186" xr:uid="{00000000-0005-0000-0000-00001B020000}"/>
    <cellStyle name="20% - Accent4 2 3 5 3 2" xfId="14628" xr:uid="{79DBF1E8-C300-4BCD-8917-790A607690E0}"/>
    <cellStyle name="20% - Accent4 2 3 5 4" xfId="10410" xr:uid="{E1101FE0-A622-47F2-A5C8-1EDA832D1876}"/>
    <cellStyle name="20% - Accent4 2 3 6" xfId="2292" xr:uid="{00000000-0005-0000-0000-00001C020000}"/>
    <cellStyle name="20% - Accent4 2 3 6 2" xfId="6599" xr:uid="{00000000-0005-0000-0000-00001D020000}"/>
    <cellStyle name="20% - Accent4 2 3 6 2 2" xfId="15041" xr:uid="{49F10222-E14E-4D85-B2F3-3506798E735A}"/>
    <cellStyle name="20% - Accent4 2 3 6 3" xfId="10823" xr:uid="{3F5B96BC-29E9-4199-B642-EAE22FE1BAFB}"/>
    <cellStyle name="20% - Accent4 2 3 7" xfId="4533" xr:uid="{00000000-0005-0000-0000-00001E020000}"/>
    <cellStyle name="20% - Accent4 2 3 7 2" xfId="12975" xr:uid="{C5636CA1-59EB-447D-AE0B-BF238BD9B07F}"/>
    <cellStyle name="20% - Accent4 2 3 8" xfId="8757" xr:uid="{EFDC48D1-8303-41D7-B212-872335A7DB3D}"/>
    <cellStyle name="20% - Accent4 2 4" xfId="595" xr:uid="{00000000-0005-0000-0000-00001F020000}"/>
    <cellStyle name="20% - Accent4 2 4 2" xfId="2866" xr:uid="{00000000-0005-0000-0000-000020020000}"/>
    <cellStyle name="20% - Accent4 2 4 2 2" xfId="7089" xr:uid="{00000000-0005-0000-0000-000021020000}"/>
    <cellStyle name="20% - Accent4 2 4 2 2 2" xfId="15531" xr:uid="{2D3E9375-6638-4979-BFE4-B9D672E61678}"/>
    <cellStyle name="20% - Accent4 2 4 2 3" xfId="11313" xr:uid="{77988642-98C6-4926-887A-CC44545F8AD5}"/>
    <cellStyle name="20% - Accent4 2 4 3" xfId="4944" xr:uid="{00000000-0005-0000-0000-000022020000}"/>
    <cellStyle name="20% - Accent4 2 4 3 2" xfId="13386" xr:uid="{D11BD95F-9FAE-4DE9-8193-4AE3F7AB3E57}"/>
    <cellStyle name="20% - Accent4 2 4 4" xfId="9168" xr:uid="{00554ECF-EA20-4A10-901F-D3B8E5C75A7D}"/>
    <cellStyle name="20% - Accent4 2 5" xfId="1048" xr:uid="{00000000-0005-0000-0000-000023020000}"/>
    <cellStyle name="20% - Accent4 2 5 2" xfId="3279" xr:uid="{00000000-0005-0000-0000-000024020000}"/>
    <cellStyle name="20% - Accent4 2 5 2 2" xfId="7502" xr:uid="{00000000-0005-0000-0000-000025020000}"/>
    <cellStyle name="20% - Accent4 2 5 2 2 2" xfId="15944" xr:uid="{DD789F2C-13D4-463C-9ED4-6CA472668AF4}"/>
    <cellStyle name="20% - Accent4 2 5 2 3" xfId="11726" xr:uid="{E8596CE2-6093-4E3C-9460-E75CF1D998AE}"/>
    <cellStyle name="20% - Accent4 2 5 3" xfId="5357" xr:uid="{00000000-0005-0000-0000-000026020000}"/>
    <cellStyle name="20% - Accent4 2 5 3 2" xfId="13799" xr:uid="{5AA5EA33-0504-4B37-AB54-A42441EBDDBD}"/>
    <cellStyle name="20% - Accent4 2 5 4" xfId="9581" xr:uid="{93516F5D-3BAF-40A9-A69A-C77B858456DA}"/>
    <cellStyle name="20% - Accent4 2 6" xfId="1462" xr:uid="{00000000-0005-0000-0000-000027020000}"/>
    <cellStyle name="20% - Accent4 2 6 2" xfId="3692" xr:uid="{00000000-0005-0000-0000-000028020000}"/>
    <cellStyle name="20% - Accent4 2 6 2 2" xfId="7915" xr:uid="{00000000-0005-0000-0000-000029020000}"/>
    <cellStyle name="20% - Accent4 2 6 2 2 2" xfId="16357" xr:uid="{498552BC-1C48-4FED-8D32-8F69F22E2834}"/>
    <cellStyle name="20% - Accent4 2 6 2 3" xfId="12139" xr:uid="{E2B252B5-F362-4C07-9B11-45222D30789F}"/>
    <cellStyle name="20% - Accent4 2 6 3" xfId="5770" xr:uid="{00000000-0005-0000-0000-00002A020000}"/>
    <cellStyle name="20% - Accent4 2 6 3 2" xfId="14212" xr:uid="{343F2C07-97D3-46D4-B4AF-A50702187BEF}"/>
    <cellStyle name="20% - Accent4 2 6 4" xfId="9994" xr:uid="{9AC298EA-314F-481E-A1CD-206F1F5267A3}"/>
    <cellStyle name="20% - Accent4 2 7" xfId="1876" xr:uid="{00000000-0005-0000-0000-00002B020000}"/>
    <cellStyle name="20% - Accent4 2 7 2" xfId="4105" xr:uid="{00000000-0005-0000-0000-00002C020000}"/>
    <cellStyle name="20% - Accent4 2 7 2 2" xfId="8328" xr:uid="{00000000-0005-0000-0000-00002D020000}"/>
    <cellStyle name="20% - Accent4 2 7 2 2 2" xfId="16770" xr:uid="{25150ED2-0B79-43AB-A7E1-69DB4F7A4DB7}"/>
    <cellStyle name="20% - Accent4 2 7 2 3" xfId="12552" xr:uid="{E8ADCD57-55F0-4DAB-826B-0C1D60878CA0}"/>
    <cellStyle name="20% - Accent4 2 7 3" xfId="6183" xr:uid="{00000000-0005-0000-0000-00002E020000}"/>
    <cellStyle name="20% - Accent4 2 7 3 2" xfId="14625" xr:uid="{69FF78C6-8401-46B9-9167-C8CC7DE57922}"/>
    <cellStyle name="20% - Accent4 2 7 4" xfId="10407" xr:uid="{3C8BA6D5-051D-4F75-9426-B6198E2F4FBB}"/>
    <cellStyle name="20% - Accent4 2 8" xfId="2289" xr:uid="{00000000-0005-0000-0000-00002F020000}"/>
    <cellStyle name="20% - Accent4 2 8 2" xfId="6596" xr:uid="{00000000-0005-0000-0000-000030020000}"/>
    <cellStyle name="20% - Accent4 2 8 2 2" xfId="15038" xr:uid="{1C25F50F-04EC-461D-89E0-8F1BD4A71CA9}"/>
    <cellStyle name="20% - Accent4 2 8 3" xfId="10820" xr:uid="{42225D45-F306-497F-ABB1-E52EB14F0270}"/>
    <cellStyle name="20% - Accent4 2 9" xfId="4530" xr:uid="{00000000-0005-0000-0000-000031020000}"/>
    <cellStyle name="20% - Accent4 2 9 2" xfId="12972" xr:uid="{61E3701D-C271-429B-8681-649BD4095827}"/>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2 2 2" xfId="15536" xr:uid="{2779AF62-2472-4692-AB8B-49340DCC2D04}"/>
    <cellStyle name="20% - Accent4 3 2 2 2 3" xfId="11318" xr:uid="{921BB296-BFD2-4D71-B897-CBB850213AED}"/>
    <cellStyle name="20% - Accent4 3 2 2 3" xfId="4949" xr:uid="{00000000-0005-0000-0000-000037020000}"/>
    <cellStyle name="20% - Accent4 3 2 2 3 2" xfId="13391" xr:uid="{84200771-1E7D-4186-878B-0AFA11FFEC85}"/>
    <cellStyle name="20% - Accent4 3 2 2 4" xfId="9173" xr:uid="{57D02F36-3B82-4900-BF3F-044C2C89DF53}"/>
    <cellStyle name="20% - Accent4 3 2 3" xfId="1053" xr:uid="{00000000-0005-0000-0000-000038020000}"/>
    <cellStyle name="20% - Accent4 3 2 3 2" xfId="3284" xr:uid="{00000000-0005-0000-0000-000039020000}"/>
    <cellStyle name="20% - Accent4 3 2 3 2 2" xfId="7507" xr:uid="{00000000-0005-0000-0000-00003A020000}"/>
    <cellStyle name="20% - Accent4 3 2 3 2 2 2" xfId="15949" xr:uid="{FF54629D-B7F5-4FA6-8B5D-DC8689107F20}"/>
    <cellStyle name="20% - Accent4 3 2 3 2 3" xfId="11731" xr:uid="{4CEBAF5F-639C-412F-A4F5-06BFBBBC07FB}"/>
    <cellStyle name="20% - Accent4 3 2 3 3" xfId="5362" xr:uid="{00000000-0005-0000-0000-00003B020000}"/>
    <cellStyle name="20% - Accent4 3 2 3 3 2" xfId="13804" xr:uid="{20491F32-3212-4677-AED0-D4CE37F9C17A}"/>
    <cellStyle name="20% - Accent4 3 2 3 4" xfId="9586" xr:uid="{FC69FAC1-F5C0-4AE9-A3E2-49C7DB104BA6}"/>
    <cellStyle name="20% - Accent4 3 2 4" xfId="1467" xr:uid="{00000000-0005-0000-0000-00003C020000}"/>
    <cellStyle name="20% - Accent4 3 2 4 2" xfId="3697" xr:uid="{00000000-0005-0000-0000-00003D020000}"/>
    <cellStyle name="20% - Accent4 3 2 4 2 2" xfId="7920" xr:uid="{00000000-0005-0000-0000-00003E020000}"/>
    <cellStyle name="20% - Accent4 3 2 4 2 2 2" xfId="16362" xr:uid="{0FE32623-F981-4BD8-B788-1DC34B097954}"/>
    <cellStyle name="20% - Accent4 3 2 4 2 3" xfId="12144" xr:uid="{1C7AB051-0C1F-4871-8C1B-1D0D88BE7F2A}"/>
    <cellStyle name="20% - Accent4 3 2 4 3" xfId="5775" xr:uid="{00000000-0005-0000-0000-00003F020000}"/>
    <cellStyle name="20% - Accent4 3 2 4 3 2" xfId="14217" xr:uid="{EC16E491-8C28-4CCE-BAA5-29E287032833}"/>
    <cellStyle name="20% - Accent4 3 2 4 4" xfId="9999" xr:uid="{C5FB476E-D155-4402-A613-4302FC9BD705}"/>
    <cellStyle name="20% - Accent4 3 2 5" xfId="1881" xr:uid="{00000000-0005-0000-0000-000040020000}"/>
    <cellStyle name="20% - Accent4 3 2 5 2" xfId="4110" xr:uid="{00000000-0005-0000-0000-000041020000}"/>
    <cellStyle name="20% - Accent4 3 2 5 2 2" xfId="8333" xr:uid="{00000000-0005-0000-0000-000042020000}"/>
    <cellStyle name="20% - Accent4 3 2 5 2 2 2" xfId="16775" xr:uid="{92E527F8-493E-4111-A5F8-27A3796C288D}"/>
    <cellStyle name="20% - Accent4 3 2 5 2 3" xfId="12557" xr:uid="{F00312DF-D26C-4FF6-ABA5-443CC6E84A71}"/>
    <cellStyle name="20% - Accent4 3 2 5 3" xfId="6188" xr:uid="{00000000-0005-0000-0000-000043020000}"/>
    <cellStyle name="20% - Accent4 3 2 5 3 2" xfId="14630" xr:uid="{4D44230A-C8DE-440E-ACE9-FF4AE8DFE8CC}"/>
    <cellStyle name="20% - Accent4 3 2 5 4" xfId="10412" xr:uid="{29D28A71-5DAC-4AAE-B614-4B476F1B8932}"/>
    <cellStyle name="20% - Accent4 3 2 6" xfId="2294" xr:uid="{00000000-0005-0000-0000-000044020000}"/>
    <cellStyle name="20% - Accent4 3 2 6 2" xfId="6601" xr:uid="{00000000-0005-0000-0000-000045020000}"/>
    <cellStyle name="20% - Accent4 3 2 6 2 2" xfId="15043" xr:uid="{125378D5-9B1A-42FA-A171-7FDB15C2E138}"/>
    <cellStyle name="20% - Accent4 3 2 6 3" xfId="10825" xr:uid="{CADAE730-05C3-48C7-A72D-812E092613A1}"/>
    <cellStyle name="20% - Accent4 3 2 7" xfId="4535" xr:uid="{00000000-0005-0000-0000-000046020000}"/>
    <cellStyle name="20% - Accent4 3 2 7 2" xfId="12977" xr:uid="{A36F165C-D1CE-4B5E-9A7D-4A01E0B16B3A}"/>
    <cellStyle name="20% - Accent4 3 2 8" xfId="8759" xr:uid="{EA68365E-D0A2-49E8-9CF2-7653FD7778E4}"/>
    <cellStyle name="20% - Accent4 3 3" xfId="599" xr:uid="{00000000-0005-0000-0000-000047020000}"/>
    <cellStyle name="20% - Accent4 3 3 2" xfId="2870" xr:uid="{00000000-0005-0000-0000-000048020000}"/>
    <cellStyle name="20% - Accent4 3 3 2 2" xfId="7093" xr:uid="{00000000-0005-0000-0000-000049020000}"/>
    <cellStyle name="20% - Accent4 3 3 2 2 2" xfId="15535" xr:uid="{2D3B452B-062C-40C9-B6D3-DF97F4BA1713}"/>
    <cellStyle name="20% - Accent4 3 3 2 3" xfId="11317" xr:uid="{B2A10C67-E37B-4078-8703-05407CD2F3CD}"/>
    <cellStyle name="20% - Accent4 3 3 3" xfId="4948" xr:uid="{00000000-0005-0000-0000-00004A020000}"/>
    <cellStyle name="20% - Accent4 3 3 3 2" xfId="13390" xr:uid="{BA5D64AD-1E25-42C0-AEE2-ABBB216B6632}"/>
    <cellStyle name="20% - Accent4 3 3 4" xfId="9172" xr:uid="{76271FCE-60BA-4F53-ADED-39FE77EAC2F4}"/>
    <cellStyle name="20% - Accent4 3 4" xfId="1052" xr:uid="{00000000-0005-0000-0000-00004B020000}"/>
    <cellStyle name="20% - Accent4 3 4 2" xfId="3283" xr:uid="{00000000-0005-0000-0000-00004C020000}"/>
    <cellStyle name="20% - Accent4 3 4 2 2" xfId="7506" xr:uid="{00000000-0005-0000-0000-00004D020000}"/>
    <cellStyle name="20% - Accent4 3 4 2 2 2" xfId="15948" xr:uid="{A30E9B9A-1C55-4F92-9EE7-2D7D4A6B46B9}"/>
    <cellStyle name="20% - Accent4 3 4 2 3" xfId="11730" xr:uid="{DB373011-58D2-48F4-AB37-67C096FFB306}"/>
    <cellStyle name="20% - Accent4 3 4 3" xfId="5361" xr:uid="{00000000-0005-0000-0000-00004E020000}"/>
    <cellStyle name="20% - Accent4 3 4 3 2" xfId="13803" xr:uid="{7846441D-A133-4340-86D3-656DF6F6003F}"/>
    <cellStyle name="20% - Accent4 3 4 4" xfId="9585" xr:uid="{6EB123A7-5952-46BF-AAE0-BCE0CEF65D9F}"/>
    <cellStyle name="20% - Accent4 3 5" xfId="1466" xr:uid="{00000000-0005-0000-0000-00004F020000}"/>
    <cellStyle name="20% - Accent4 3 5 2" xfId="3696" xr:uid="{00000000-0005-0000-0000-000050020000}"/>
    <cellStyle name="20% - Accent4 3 5 2 2" xfId="7919" xr:uid="{00000000-0005-0000-0000-000051020000}"/>
    <cellStyle name="20% - Accent4 3 5 2 2 2" xfId="16361" xr:uid="{BA70C9B9-9006-4307-8B79-CE9C830C8D57}"/>
    <cellStyle name="20% - Accent4 3 5 2 3" xfId="12143" xr:uid="{E0F07301-85BF-4CD8-9FD3-8366B71F7338}"/>
    <cellStyle name="20% - Accent4 3 5 3" xfId="5774" xr:uid="{00000000-0005-0000-0000-000052020000}"/>
    <cellStyle name="20% - Accent4 3 5 3 2" xfId="14216" xr:uid="{202D3F46-3672-4CF3-9095-50F8BCAD13A8}"/>
    <cellStyle name="20% - Accent4 3 5 4" xfId="9998" xr:uid="{7F66188E-20B7-487D-A6E2-65C811903BC4}"/>
    <cellStyle name="20% - Accent4 3 6" xfId="1880" xr:uid="{00000000-0005-0000-0000-000053020000}"/>
    <cellStyle name="20% - Accent4 3 6 2" xfId="4109" xr:uid="{00000000-0005-0000-0000-000054020000}"/>
    <cellStyle name="20% - Accent4 3 6 2 2" xfId="8332" xr:uid="{00000000-0005-0000-0000-000055020000}"/>
    <cellStyle name="20% - Accent4 3 6 2 2 2" xfId="16774" xr:uid="{2F7254FA-2E9F-493F-A145-99F4D7643C7D}"/>
    <cellStyle name="20% - Accent4 3 6 2 3" xfId="12556" xr:uid="{D6C0FDF2-3C14-4F1A-92DB-C3A9129B7FE5}"/>
    <cellStyle name="20% - Accent4 3 6 3" xfId="6187" xr:uid="{00000000-0005-0000-0000-000056020000}"/>
    <cellStyle name="20% - Accent4 3 6 3 2" xfId="14629" xr:uid="{1A2EAEF0-C2C3-4D5F-9912-2EFE6E6593C2}"/>
    <cellStyle name="20% - Accent4 3 6 4" xfId="10411" xr:uid="{BAFCDEA9-0C64-415A-B994-F59F3DB576FC}"/>
    <cellStyle name="20% - Accent4 3 7" xfId="2293" xr:uid="{00000000-0005-0000-0000-000057020000}"/>
    <cellStyle name="20% - Accent4 3 7 2" xfId="6600" xr:uid="{00000000-0005-0000-0000-000058020000}"/>
    <cellStyle name="20% - Accent4 3 7 2 2" xfId="15042" xr:uid="{100EB743-D0EE-4061-91B0-1A1A37B62576}"/>
    <cellStyle name="20% - Accent4 3 7 3" xfId="10824" xr:uid="{B0A7FF1F-9D56-47A4-B904-F0DBB65B59C3}"/>
    <cellStyle name="20% - Accent4 3 8" xfId="4534" xr:uid="{00000000-0005-0000-0000-000059020000}"/>
    <cellStyle name="20% - Accent4 3 8 2" xfId="12976" xr:uid="{A4C0DC24-4480-4FF0-8B27-B459776F55D9}"/>
    <cellStyle name="20% - Accent4 3 9" xfId="8758" xr:uid="{C61619CE-D358-4B4A-B778-3D359C7FE4D1}"/>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2 2 2" xfId="15537" xr:uid="{6100BF8B-181B-4AC9-92F3-713F472484C2}"/>
    <cellStyle name="20% - Accent4 4 2 2 3" xfId="11319" xr:uid="{F1655176-15C2-444C-95D0-A7E47702FA32}"/>
    <cellStyle name="20% - Accent4 4 2 3" xfId="4950" xr:uid="{00000000-0005-0000-0000-00005E020000}"/>
    <cellStyle name="20% - Accent4 4 2 3 2" xfId="13392" xr:uid="{26D03465-F7FB-4E38-A1F8-E632C1E1EA66}"/>
    <cellStyle name="20% - Accent4 4 2 4" xfId="9174" xr:uid="{6938966D-3232-4D2A-AB4E-E296488519B0}"/>
    <cellStyle name="20% - Accent4 4 3" xfId="1054" xr:uid="{00000000-0005-0000-0000-00005F020000}"/>
    <cellStyle name="20% - Accent4 4 3 2" xfId="3285" xr:uid="{00000000-0005-0000-0000-000060020000}"/>
    <cellStyle name="20% - Accent4 4 3 2 2" xfId="7508" xr:uid="{00000000-0005-0000-0000-000061020000}"/>
    <cellStyle name="20% - Accent4 4 3 2 2 2" xfId="15950" xr:uid="{08CA81A0-624B-43E7-9186-EB02373EFB76}"/>
    <cellStyle name="20% - Accent4 4 3 2 3" xfId="11732" xr:uid="{18F49D78-1798-44EA-9C1F-834B8B2D709F}"/>
    <cellStyle name="20% - Accent4 4 3 3" xfId="5363" xr:uid="{00000000-0005-0000-0000-000062020000}"/>
    <cellStyle name="20% - Accent4 4 3 3 2" xfId="13805" xr:uid="{45A1C128-D3DE-402E-821F-113CDCCCA140}"/>
    <cellStyle name="20% - Accent4 4 3 4" xfId="9587" xr:uid="{4172FD67-FE25-4343-BC40-17EC6A827C9F}"/>
    <cellStyle name="20% - Accent4 4 4" xfId="1468" xr:uid="{00000000-0005-0000-0000-000063020000}"/>
    <cellStyle name="20% - Accent4 4 4 2" xfId="3698" xr:uid="{00000000-0005-0000-0000-000064020000}"/>
    <cellStyle name="20% - Accent4 4 4 2 2" xfId="7921" xr:uid="{00000000-0005-0000-0000-000065020000}"/>
    <cellStyle name="20% - Accent4 4 4 2 2 2" xfId="16363" xr:uid="{DE16024C-3D24-4199-B036-F1EB663739FC}"/>
    <cellStyle name="20% - Accent4 4 4 2 3" xfId="12145" xr:uid="{FCA5F521-CB5C-47CC-BFC8-79790E7D9416}"/>
    <cellStyle name="20% - Accent4 4 4 3" xfId="5776" xr:uid="{00000000-0005-0000-0000-000066020000}"/>
    <cellStyle name="20% - Accent4 4 4 3 2" xfId="14218" xr:uid="{1E9F0FE8-64D4-453A-9DC9-73D9D123243A}"/>
    <cellStyle name="20% - Accent4 4 4 4" xfId="10000" xr:uid="{FA3E1FF7-DD50-4262-83B2-D6943146F7D6}"/>
    <cellStyle name="20% - Accent4 4 5" xfId="1882" xr:uid="{00000000-0005-0000-0000-000067020000}"/>
    <cellStyle name="20% - Accent4 4 5 2" xfId="4111" xr:uid="{00000000-0005-0000-0000-000068020000}"/>
    <cellStyle name="20% - Accent4 4 5 2 2" xfId="8334" xr:uid="{00000000-0005-0000-0000-000069020000}"/>
    <cellStyle name="20% - Accent4 4 5 2 2 2" xfId="16776" xr:uid="{0E624786-9860-4623-8955-9A2A3C6D1CD1}"/>
    <cellStyle name="20% - Accent4 4 5 2 3" xfId="12558" xr:uid="{7BCE7833-92C9-45C6-A3C9-CA1F1902E9CA}"/>
    <cellStyle name="20% - Accent4 4 5 3" xfId="6189" xr:uid="{00000000-0005-0000-0000-00006A020000}"/>
    <cellStyle name="20% - Accent4 4 5 3 2" xfId="14631" xr:uid="{4FC0621B-49E0-4BC2-BF4F-B68A55AD7D4F}"/>
    <cellStyle name="20% - Accent4 4 5 4" xfId="10413" xr:uid="{89B6432E-1B76-41AA-BD24-F91E62461066}"/>
    <cellStyle name="20% - Accent4 4 6" xfId="2295" xr:uid="{00000000-0005-0000-0000-00006B020000}"/>
    <cellStyle name="20% - Accent4 4 6 2" xfId="6602" xr:uid="{00000000-0005-0000-0000-00006C020000}"/>
    <cellStyle name="20% - Accent4 4 6 2 2" xfId="15044" xr:uid="{C1B090F0-2259-4455-BC27-FD2A19D971FE}"/>
    <cellStyle name="20% - Accent4 4 6 3" xfId="10826" xr:uid="{EC535740-8342-44C2-BBEB-03EF7FD704F1}"/>
    <cellStyle name="20% - Accent4 4 7" xfId="4536" xr:uid="{00000000-0005-0000-0000-00006D020000}"/>
    <cellStyle name="20% - Accent4 4 7 2" xfId="12978" xr:uid="{7EE02859-ECF1-4AA9-B999-0527FCF67025}"/>
    <cellStyle name="20% - Accent4 4 8" xfId="8760" xr:uid="{B94A751B-358A-4A4F-8436-DBF0954D1359}"/>
    <cellStyle name="20% - Accent4 5" xfId="594" xr:uid="{00000000-0005-0000-0000-00006E020000}"/>
    <cellStyle name="20% - Accent4 5 2" xfId="2865" xr:uid="{00000000-0005-0000-0000-00006F020000}"/>
    <cellStyle name="20% - Accent4 5 2 2" xfId="7088" xr:uid="{00000000-0005-0000-0000-000070020000}"/>
    <cellStyle name="20% - Accent4 5 2 2 2" xfId="15530" xr:uid="{231C86FD-E985-4FA8-895C-DA83FA099A32}"/>
    <cellStyle name="20% - Accent4 5 2 3" xfId="11312" xr:uid="{AF1323B8-0629-4D0C-A8A1-02B6CA0FBB50}"/>
    <cellStyle name="20% - Accent4 5 3" xfId="4943" xr:uid="{00000000-0005-0000-0000-000071020000}"/>
    <cellStyle name="20% - Accent4 5 3 2" xfId="13385" xr:uid="{96EEBFA8-F733-450D-A506-5AB786186780}"/>
    <cellStyle name="20% - Accent4 5 4" xfId="9167" xr:uid="{80C73E7F-9B2A-47F2-A777-428F016787EF}"/>
    <cellStyle name="20% - Accent4 6" xfId="1047" xr:uid="{00000000-0005-0000-0000-000072020000}"/>
    <cellStyle name="20% - Accent4 6 2" xfId="3278" xr:uid="{00000000-0005-0000-0000-000073020000}"/>
    <cellStyle name="20% - Accent4 6 2 2" xfId="7501" xr:uid="{00000000-0005-0000-0000-000074020000}"/>
    <cellStyle name="20% - Accent4 6 2 2 2" xfId="15943" xr:uid="{68F1B7D8-C37F-453B-ACAF-A4C2A6B6C408}"/>
    <cellStyle name="20% - Accent4 6 2 3" xfId="11725" xr:uid="{AF61C10D-2F6F-4671-98DE-A19EAC559558}"/>
    <cellStyle name="20% - Accent4 6 3" xfId="5356" xr:uid="{00000000-0005-0000-0000-000075020000}"/>
    <cellStyle name="20% - Accent4 6 3 2" xfId="13798" xr:uid="{DD4B238C-BF18-4E3C-A957-D767256D6DF2}"/>
    <cellStyle name="20% - Accent4 6 4" xfId="9580" xr:uid="{EDD0DD9A-2D66-4E9B-B2F5-38FF9B699A35}"/>
    <cellStyle name="20% - Accent4 7" xfId="1461" xr:uid="{00000000-0005-0000-0000-000076020000}"/>
    <cellStyle name="20% - Accent4 7 2" xfId="3691" xr:uid="{00000000-0005-0000-0000-000077020000}"/>
    <cellStyle name="20% - Accent4 7 2 2" xfId="7914" xr:uid="{00000000-0005-0000-0000-000078020000}"/>
    <cellStyle name="20% - Accent4 7 2 2 2" xfId="16356" xr:uid="{83F6B597-904B-4E91-8165-E3CCC389E967}"/>
    <cellStyle name="20% - Accent4 7 2 3" xfId="12138" xr:uid="{60234002-FF60-47F0-A74A-2E1431EADB4E}"/>
    <cellStyle name="20% - Accent4 7 3" xfId="5769" xr:uid="{00000000-0005-0000-0000-000079020000}"/>
    <cellStyle name="20% - Accent4 7 3 2" xfId="14211" xr:uid="{E102FE22-A8FA-4D72-9843-97202E6A4D5A}"/>
    <cellStyle name="20% - Accent4 7 4" xfId="9993" xr:uid="{A267B509-3BE2-4C6B-A48E-72E28D1F55EA}"/>
    <cellStyle name="20% - Accent4 8" xfId="1875" xr:uid="{00000000-0005-0000-0000-00007A020000}"/>
    <cellStyle name="20% - Accent4 8 2" xfId="4104" xr:uid="{00000000-0005-0000-0000-00007B020000}"/>
    <cellStyle name="20% - Accent4 8 2 2" xfId="8327" xr:uid="{00000000-0005-0000-0000-00007C020000}"/>
    <cellStyle name="20% - Accent4 8 2 2 2" xfId="16769" xr:uid="{158E4361-A01A-43B1-8E0D-60F558201BF3}"/>
    <cellStyle name="20% - Accent4 8 2 3" xfId="12551" xr:uid="{CB408AD8-B20B-4BFB-889D-115EB2440428}"/>
    <cellStyle name="20% - Accent4 8 3" xfId="6182" xr:uid="{00000000-0005-0000-0000-00007D020000}"/>
    <cellStyle name="20% - Accent4 8 3 2" xfId="14624" xr:uid="{0FC60A89-B5A7-4EEA-96FC-CFDD00DFE6E3}"/>
    <cellStyle name="20% - Accent4 8 4" xfId="10406" xr:uid="{9BEA8D6F-E639-4087-97E3-0145AAEDC907}"/>
    <cellStyle name="20% - Accent4 9" xfId="2288" xr:uid="{00000000-0005-0000-0000-00007E020000}"/>
    <cellStyle name="20% - Accent4 9 2" xfId="6595" xr:uid="{00000000-0005-0000-0000-00007F020000}"/>
    <cellStyle name="20% - Accent4 9 2 2" xfId="15037" xr:uid="{94571F35-736E-4F70-96AE-5F2EDBC00C6B}"/>
    <cellStyle name="20% - Accent4 9 3" xfId="10819" xr:uid="{93E1F1F9-36DB-4D59-BCB6-90EFDE2E9C86}"/>
    <cellStyle name="20% - Accent5" xfId="33" builtinId="46" customBuiltin="1"/>
    <cellStyle name="20% - Accent5 10" xfId="4537" xr:uid="{00000000-0005-0000-0000-000081020000}"/>
    <cellStyle name="20% - Accent5 10 2" xfId="12979" xr:uid="{B150AC01-281F-4449-89C6-879963E29E53}"/>
    <cellStyle name="20% - Accent5 11" xfId="8761" xr:uid="{1B8653B3-5C9A-4073-9C56-9C483C960EC3}"/>
    <cellStyle name="20% - Accent5 2" xfId="34" xr:uid="{00000000-0005-0000-0000-000082020000}"/>
    <cellStyle name="20% - Accent5 2 10" xfId="8762" xr:uid="{78BE3126-751B-4F2F-9DB5-69EEA11AC28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2 2 2" xfId="15541" xr:uid="{8DC00916-2D0B-4CD5-BE0B-B9B111F932BA}"/>
    <cellStyle name="20% - Accent5 2 2 2 2 2 3" xfId="11323" xr:uid="{9AD0D1B0-C268-4370-B7B0-E622D7FCFFCF}"/>
    <cellStyle name="20% - Accent5 2 2 2 2 3" xfId="4954" xr:uid="{00000000-0005-0000-0000-000088020000}"/>
    <cellStyle name="20% - Accent5 2 2 2 2 3 2" xfId="13396" xr:uid="{ECB6424C-5FAD-48D4-B389-E427B2F02B1A}"/>
    <cellStyle name="20% - Accent5 2 2 2 2 4" xfId="9178" xr:uid="{130AEEC9-50AA-4D53-ADCA-A87AEF6A3427}"/>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2 2 2" xfId="15954" xr:uid="{476468CE-6000-4793-8181-6AC059245CBF}"/>
    <cellStyle name="20% - Accent5 2 2 2 3 2 3" xfId="11736" xr:uid="{4421C88C-A103-445D-9EE4-CBFA4D9A89F8}"/>
    <cellStyle name="20% - Accent5 2 2 2 3 3" xfId="5367" xr:uid="{00000000-0005-0000-0000-00008C020000}"/>
    <cellStyle name="20% - Accent5 2 2 2 3 3 2" xfId="13809" xr:uid="{27593059-5618-4D5E-8A8D-D9F687D01E7E}"/>
    <cellStyle name="20% - Accent5 2 2 2 3 4" xfId="9591" xr:uid="{B87D3B03-3C06-44B2-921A-6DA77171DE14}"/>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2 2 2" xfId="16367" xr:uid="{6B849D1C-2807-4C39-8318-700E7B3FECB7}"/>
    <cellStyle name="20% - Accent5 2 2 2 4 2 3" xfId="12149" xr:uid="{D1F5A312-9F4F-4E38-8F7F-DEAF02F9809A}"/>
    <cellStyle name="20% - Accent5 2 2 2 4 3" xfId="5780" xr:uid="{00000000-0005-0000-0000-000090020000}"/>
    <cellStyle name="20% - Accent5 2 2 2 4 3 2" xfId="14222" xr:uid="{4702ADA7-EDE7-4475-9DE2-9153129960CD}"/>
    <cellStyle name="20% - Accent5 2 2 2 4 4" xfId="10004" xr:uid="{02FE61A3-7693-4B3D-8A14-E9D249370241}"/>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2 2 2" xfId="16780" xr:uid="{8881CFE9-207D-4DDA-B4E0-17EE3A3EF1D6}"/>
    <cellStyle name="20% - Accent5 2 2 2 5 2 3" xfId="12562" xr:uid="{97AD87F8-7266-4BC5-87D2-8D5678852E6B}"/>
    <cellStyle name="20% - Accent5 2 2 2 5 3" xfId="6193" xr:uid="{00000000-0005-0000-0000-000094020000}"/>
    <cellStyle name="20% - Accent5 2 2 2 5 3 2" xfId="14635" xr:uid="{5CF87F26-5F6D-4177-8CB9-233F1D687A88}"/>
    <cellStyle name="20% - Accent5 2 2 2 5 4" xfId="10417" xr:uid="{24BDDB66-AE03-437E-8DA5-92D36E498B60}"/>
    <cellStyle name="20% - Accent5 2 2 2 6" xfId="2299" xr:uid="{00000000-0005-0000-0000-000095020000}"/>
    <cellStyle name="20% - Accent5 2 2 2 6 2" xfId="6606" xr:uid="{00000000-0005-0000-0000-000096020000}"/>
    <cellStyle name="20% - Accent5 2 2 2 6 2 2" xfId="15048" xr:uid="{7EE9F3A2-77DB-4FE1-9830-0684A5C37426}"/>
    <cellStyle name="20% - Accent5 2 2 2 6 3" xfId="10830" xr:uid="{2B5EAC60-570D-469C-8C47-2393DB2D63AB}"/>
    <cellStyle name="20% - Accent5 2 2 2 7" xfId="4540" xr:uid="{00000000-0005-0000-0000-000097020000}"/>
    <cellStyle name="20% - Accent5 2 2 2 7 2" xfId="12982" xr:uid="{AAC825C8-F2FE-423C-94BE-F53994BF930E}"/>
    <cellStyle name="20% - Accent5 2 2 2 8" xfId="8764" xr:uid="{A8CACE21-D6F7-442D-9197-5DE63CD348DF}"/>
    <cellStyle name="20% - Accent5 2 2 3" xfId="604" xr:uid="{00000000-0005-0000-0000-000098020000}"/>
    <cellStyle name="20% - Accent5 2 2 3 2" xfId="2875" xr:uid="{00000000-0005-0000-0000-000099020000}"/>
    <cellStyle name="20% - Accent5 2 2 3 2 2" xfId="7098" xr:uid="{00000000-0005-0000-0000-00009A020000}"/>
    <cellStyle name="20% - Accent5 2 2 3 2 2 2" xfId="15540" xr:uid="{C926F124-FF05-4E72-BB75-FDA8DADFB8D0}"/>
    <cellStyle name="20% - Accent5 2 2 3 2 3" xfId="11322" xr:uid="{48732969-5891-4D1B-8BE8-4BCD049C2D70}"/>
    <cellStyle name="20% - Accent5 2 2 3 3" xfId="4953" xr:uid="{00000000-0005-0000-0000-00009B020000}"/>
    <cellStyle name="20% - Accent5 2 2 3 3 2" xfId="13395" xr:uid="{FA3DC8D0-0D6B-4C20-827A-A4C427B6F52A}"/>
    <cellStyle name="20% - Accent5 2 2 3 4" xfId="9177" xr:uid="{5BD2366B-1A75-43EE-AAD1-8F97BF5D64F4}"/>
    <cellStyle name="20% - Accent5 2 2 4" xfId="1057" xr:uid="{00000000-0005-0000-0000-00009C020000}"/>
    <cellStyle name="20% - Accent5 2 2 4 2" xfId="3288" xr:uid="{00000000-0005-0000-0000-00009D020000}"/>
    <cellStyle name="20% - Accent5 2 2 4 2 2" xfId="7511" xr:uid="{00000000-0005-0000-0000-00009E020000}"/>
    <cellStyle name="20% - Accent5 2 2 4 2 2 2" xfId="15953" xr:uid="{0346186C-B1EC-4637-984B-377D43E20695}"/>
    <cellStyle name="20% - Accent5 2 2 4 2 3" xfId="11735" xr:uid="{DE5DC8C5-05FF-45EA-826A-5D037F9C2655}"/>
    <cellStyle name="20% - Accent5 2 2 4 3" xfId="5366" xr:uid="{00000000-0005-0000-0000-00009F020000}"/>
    <cellStyle name="20% - Accent5 2 2 4 3 2" xfId="13808" xr:uid="{53AF6DA1-5416-4F2E-93A9-127E4189F660}"/>
    <cellStyle name="20% - Accent5 2 2 4 4" xfId="9590" xr:uid="{BE19E0D5-D1A6-4C43-8471-00E46655AB35}"/>
    <cellStyle name="20% - Accent5 2 2 5" xfId="1471" xr:uid="{00000000-0005-0000-0000-0000A0020000}"/>
    <cellStyle name="20% - Accent5 2 2 5 2" xfId="3701" xr:uid="{00000000-0005-0000-0000-0000A1020000}"/>
    <cellStyle name="20% - Accent5 2 2 5 2 2" xfId="7924" xr:uid="{00000000-0005-0000-0000-0000A2020000}"/>
    <cellStyle name="20% - Accent5 2 2 5 2 2 2" xfId="16366" xr:uid="{0CA17599-02EF-4FB4-A434-EAE701A7AA33}"/>
    <cellStyle name="20% - Accent5 2 2 5 2 3" xfId="12148" xr:uid="{E2C5A92A-1740-4090-90BE-D75B618B3C90}"/>
    <cellStyle name="20% - Accent5 2 2 5 3" xfId="5779" xr:uid="{00000000-0005-0000-0000-0000A3020000}"/>
    <cellStyle name="20% - Accent5 2 2 5 3 2" xfId="14221" xr:uid="{177C80B9-D680-4951-86F1-F145E59B8328}"/>
    <cellStyle name="20% - Accent5 2 2 5 4" xfId="10003" xr:uid="{546AE84C-83D7-423A-BAC0-241718F9D128}"/>
    <cellStyle name="20% - Accent5 2 2 6" xfId="1885" xr:uid="{00000000-0005-0000-0000-0000A4020000}"/>
    <cellStyle name="20% - Accent5 2 2 6 2" xfId="4114" xr:uid="{00000000-0005-0000-0000-0000A5020000}"/>
    <cellStyle name="20% - Accent5 2 2 6 2 2" xfId="8337" xr:uid="{00000000-0005-0000-0000-0000A6020000}"/>
    <cellStyle name="20% - Accent5 2 2 6 2 2 2" xfId="16779" xr:uid="{A326AD2E-9096-4D81-BE76-C7F6B7104AFD}"/>
    <cellStyle name="20% - Accent5 2 2 6 2 3" xfId="12561" xr:uid="{953CDD1D-8914-4A57-B0C1-E1E4C0878E88}"/>
    <cellStyle name="20% - Accent5 2 2 6 3" xfId="6192" xr:uid="{00000000-0005-0000-0000-0000A7020000}"/>
    <cellStyle name="20% - Accent5 2 2 6 3 2" xfId="14634" xr:uid="{D77DA47A-2E91-4643-BA81-06326FD238C7}"/>
    <cellStyle name="20% - Accent5 2 2 6 4" xfId="10416" xr:uid="{02799BFA-B517-47C2-88BE-5825DBDDD15C}"/>
    <cellStyle name="20% - Accent5 2 2 7" xfId="2298" xr:uid="{00000000-0005-0000-0000-0000A8020000}"/>
    <cellStyle name="20% - Accent5 2 2 7 2" xfId="6605" xr:uid="{00000000-0005-0000-0000-0000A9020000}"/>
    <cellStyle name="20% - Accent5 2 2 7 2 2" xfId="15047" xr:uid="{540EB468-8B44-4853-A723-5164485FCF50}"/>
    <cellStyle name="20% - Accent5 2 2 7 3" xfId="10829" xr:uid="{AE35E802-2D62-4F16-885F-29B0630148AE}"/>
    <cellStyle name="20% - Accent5 2 2 8" xfId="4539" xr:uid="{00000000-0005-0000-0000-0000AA020000}"/>
    <cellStyle name="20% - Accent5 2 2 8 2" xfId="12981" xr:uid="{E7DB0423-F86A-4746-B9AA-2CDE812844A7}"/>
    <cellStyle name="20% - Accent5 2 2 9" xfId="8763" xr:uid="{FC18615A-CD88-477F-85E0-60FBA0B2B00F}"/>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2 2 2" xfId="15542" xr:uid="{CFE7B704-41A6-4807-9CA6-D67D819F2DD5}"/>
    <cellStyle name="20% - Accent5 2 3 2 2 3" xfId="11324" xr:uid="{635FA742-C6A0-4C94-82CC-A689EECF5E67}"/>
    <cellStyle name="20% - Accent5 2 3 2 3" xfId="4955" xr:uid="{00000000-0005-0000-0000-0000AF020000}"/>
    <cellStyle name="20% - Accent5 2 3 2 3 2" xfId="13397" xr:uid="{6567F388-8BC2-46DE-B150-F1C0606B91A4}"/>
    <cellStyle name="20% - Accent5 2 3 2 4" xfId="9179" xr:uid="{E239AAEC-50C3-468C-8926-99A9BB239831}"/>
    <cellStyle name="20% - Accent5 2 3 3" xfId="1059" xr:uid="{00000000-0005-0000-0000-0000B0020000}"/>
    <cellStyle name="20% - Accent5 2 3 3 2" xfId="3290" xr:uid="{00000000-0005-0000-0000-0000B1020000}"/>
    <cellStyle name="20% - Accent5 2 3 3 2 2" xfId="7513" xr:uid="{00000000-0005-0000-0000-0000B2020000}"/>
    <cellStyle name="20% - Accent5 2 3 3 2 2 2" xfId="15955" xr:uid="{F2F12914-4629-44FC-8226-1E2103228309}"/>
    <cellStyle name="20% - Accent5 2 3 3 2 3" xfId="11737" xr:uid="{BD3598EF-C8E5-4A78-8C0E-1E201392564C}"/>
    <cellStyle name="20% - Accent5 2 3 3 3" xfId="5368" xr:uid="{00000000-0005-0000-0000-0000B3020000}"/>
    <cellStyle name="20% - Accent5 2 3 3 3 2" xfId="13810" xr:uid="{9E2F5D42-574C-46B5-92F3-6BE9D0EFD7F3}"/>
    <cellStyle name="20% - Accent5 2 3 3 4" xfId="9592" xr:uid="{1375B1FB-262F-4673-95E2-1AEA4AC2611F}"/>
    <cellStyle name="20% - Accent5 2 3 4" xfId="1473" xr:uid="{00000000-0005-0000-0000-0000B4020000}"/>
    <cellStyle name="20% - Accent5 2 3 4 2" xfId="3703" xr:uid="{00000000-0005-0000-0000-0000B5020000}"/>
    <cellStyle name="20% - Accent5 2 3 4 2 2" xfId="7926" xr:uid="{00000000-0005-0000-0000-0000B6020000}"/>
    <cellStyle name="20% - Accent5 2 3 4 2 2 2" xfId="16368" xr:uid="{0EBB6A30-FCAD-4B29-A5AE-E7D669BB6EE6}"/>
    <cellStyle name="20% - Accent5 2 3 4 2 3" xfId="12150" xr:uid="{DAB93FAD-5EC7-47BB-8FEC-1604B348F970}"/>
    <cellStyle name="20% - Accent5 2 3 4 3" xfId="5781" xr:uid="{00000000-0005-0000-0000-0000B7020000}"/>
    <cellStyle name="20% - Accent5 2 3 4 3 2" xfId="14223" xr:uid="{243BADDC-DE2E-4211-AC37-ECF663D26269}"/>
    <cellStyle name="20% - Accent5 2 3 4 4" xfId="10005" xr:uid="{0C8DC682-F267-4102-9E56-6A8D13E96825}"/>
    <cellStyle name="20% - Accent5 2 3 5" xfId="1887" xr:uid="{00000000-0005-0000-0000-0000B8020000}"/>
    <cellStyle name="20% - Accent5 2 3 5 2" xfId="4116" xr:uid="{00000000-0005-0000-0000-0000B9020000}"/>
    <cellStyle name="20% - Accent5 2 3 5 2 2" xfId="8339" xr:uid="{00000000-0005-0000-0000-0000BA020000}"/>
    <cellStyle name="20% - Accent5 2 3 5 2 2 2" xfId="16781" xr:uid="{9B29623D-55BA-47A2-B9C6-E02A8118FD0B}"/>
    <cellStyle name="20% - Accent5 2 3 5 2 3" xfId="12563" xr:uid="{6117E49C-202E-4241-9E86-732E6388D15C}"/>
    <cellStyle name="20% - Accent5 2 3 5 3" xfId="6194" xr:uid="{00000000-0005-0000-0000-0000BB020000}"/>
    <cellStyle name="20% - Accent5 2 3 5 3 2" xfId="14636" xr:uid="{280398A1-3DF6-4D16-9789-3EE94D7835DE}"/>
    <cellStyle name="20% - Accent5 2 3 5 4" xfId="10418" xr:uid="{6B9AE590-F88B-4150-BC6D-E4425B81BBA8}"/>
    <cellStyle name="20% - Accent5 2 3 6" xfId="2300" xr:uid="{00000000-0005-0000-0000-0000BC020000}"/>
    <cellStyle name="20% - Accent5 2 3 6 2" xfId="6607" xr:uid="{00000000-0005-0000-0000-0000BD020000}"/>
    <cellStyle name="20% - Accent5 2 3 6 2 2" xfId="15049" xr:uid="{DCAD2BF9-9ECC-409F-AC30-52CAA1388372}"/>
    <cellStyle name="20% - Accent5 2 3 6 3" xfId="10831" xr:uid="{8125424F-46A1-45B5-9DF5-3EF011AFB262}"/>
    <cellStyle name="20% - Accent5 2 3 7" xfId="4541" xr:uid="{00000000-0005-0000-0000-0000BE020000}"/>
    <cellStyle name="20% - Accent5 2 3 7 2" xfId="12983" xr:uid="{B11B6A88-1141-40B7-A4AB-9BC96ABD9F2D}"/>
    <cellStyle name="20% - Accent5 2 3 8" xfId="8765" xr:uid="{8734AB1D-DF24-4649-B539-5356544FD496}"/>
    <cellStyle name="20% - Accent5 2 4" xfId="603" xr:uid="{00000000-0005-0000-0000-0000BF020000}"/>
    <cellStyle name="20% - Accent5 2 4 2" xfId="2874" xr:uid="{00000000-0005-0000-0000-0000C0020000}"/>
    <cellStyle name="20% - Accent5 2 4 2 2" xfId="7097" xr:uid="{00000000-0005-0000-0000-0000C1020000}"/>
    <cellStyle name="20% - Accent5 2 4 2 2 2" xfId="15539" xr:uid="{ADAB0E78-CEE5-4791-948A-983844B22561}"/>
    <cellStyle name="20% - Accent5 2 4 2 3" xfId="11321" xr:uid="{D4446697-1C30-4C8A-AA19-025BA592F562}"/>
    <cellStyle name="20% - Accent5 2 4 3" xfId="4952" xr:uid="{00000000-0005-0000-0000-0000C2020000}"/>
    <cellStyle name="20% - Accent5 2 4 3 2" xfId="13394" xr:uid="{820D740E-6536-440D-9A7C-918FF1D25B3A}"/>
    <cellStyle name="20% - Accent5 2 4 4" xfId="9176" xr:uid="{A53EE1C8-0B82-4149-BAED-CF6530FF31E2}"/>
    <cellStyle name="20% - Accent5 2 5" xfId="1056" xr:uid="{00000000-0005-0000-0000-0000C3020000}"/>
    <cellStyle name="20% - Accent5 2 5 2" xfId="3287" xr:uid="{00000000-0005-0000-0000-0000C4020000}"/>
    <cellStyle name="20% - Accent5 2 5 2 2" xfId="7510" xr:uid="{00000000-0005-0000-0000-0000C5020000}"/>
    <cellStyle name="20% - Accent5 2 5 2 2 2" xfId="15952" xr:uid="{1C86C31A-3F96-4850-8083-FD37C6CAC35A}"/>
    <cellStyle name="20% - Accent5 2 5 2 3" xfId="11734" xr:uid="{1F7D5963-DD2D-4266-B7FD-C869E150ED9C}"/>
    <cellStyle name="20% - Accent5 2 5 3" xfId="5365" xr:uid="{00000000-0005-0000-0000-0000C6020000}"/>
    <cellStyle name="20% - Accent5 2 5 3 2" xfId="13807" xr:uid="{736D3F8A-A743-455B-B930-F571FBCED73C}"/>
    <cellStyle name="20% - Accent5 2 5 4" xfId="9589" xr:uid="{D39795A4-C075-43C2-8F2A-08474459FECE}"/>
    <cellStyle name="20% - Accent5 2 6" xfId="1470" xr:uid="{00000000-0005-0000-0000-0000C7020000}"/>
    <cellStyle name="20% - Accent5 2 6 2" xfId="3700" xr:uid="{00000000-0005-0000-0000-0000C8020000}"/>
    <cellStyle name="20% - Accent5 2 6 2 2" xfId="7923" xr:uid="{00000000-0005-0000-0000-0000C9020000}"/>
    <cellStyle name="20% - Accent5 2 6 2 2 2" xfId="16365" xr:uid="{B08C9A65-458B-4484-920A-4F6BDBCF6413}"/>
    <cellStyle name="20% - Accent5 2 6 2 3" xfId="12147" xr:uid="{8FE700E7-FDAC-4802-8E4A-E98A7FC16290}"/>
    <cellStyle name="20% - Accent5 2 6 3" xfId="5778" xr:uid="{00000000-0005-0000-0000-0000CA020000}"/>
    <cellStyle name="20% - Accent5 2 6 3 2" xfId="14220" xr:uid="{88C32172-172E-45F1-9BF3-77C4230353C8}"/>
    <cellStyle name="20% - Accent5 2 6 4" xfId="10002" xr:uid="{77B606EB-B508-4796-8A9B-1F543DBFB805}"/>
    <cellStyle name="20% - Accent5 2 7" xfId="1884" xr:uid="{00000000-0005-0000-0000-0000CB020000}"/>
    <cellStyle name="20% - Accent5 2 7 2" xfId="4113" xr:uid="{00000000-0005-0000-0000-0000CC020000}"/>
    <cellStyle name="20% - Accent5 2 7 2 2" xfId="8336" xr:uid="{00000000-0005-0000-0000-0000CD020000}"/>
    <cellStyle name="20% - Accent5 2 7 2 2 2" xfId="16778" xr:uid="{9C4A2088-8939-4A9D-A800-10CD7412EF45}"/>
    <cellStyle name="20% - Accent5 2 7 2 3" xfId="12560" xr:uid="{D2BF5664-BB58-4DE9-9B42-DFB4DC3D4D52}"/>
    <cellStyle name="20% - Accent5 2 7 3" xfId="6191" xr:uid="{00000000-0005-0000-0000-0000CE020000}"/>
    <cellStyle name="20% - Accent5 2 7 3 2" xfId="14633" xr:uid="{F7E05680-DF14-45BE-AFF9-F22DBEF5BD07}"/>
    <cellStyle name="20% - Accent5 2 7 4" xfId="10415" xr:uid="{E527715F-6178-4EC0-9986-F099F9013986}"/>
    <cellStyle name="20% - Accent5 2 8" xfId="2297" xr:uid="{00000000-0005-0000-0000-0000CF020000}"/>
    <cellStyle name="20% - Accent5 2 8 2" xfId="6604" xr:uid="{00000000-0005-0000-0000-0000D0020000}"/>
    <cellStyle name="20% - Accent5 2 8 2 2" xfId="15046" xr:uid="{F9ED7F43-5312-4075-BE2D-C282D7F5B7D8}"/>
    <cellStyle name="20% - Accent5 2 8 3" xfId="10828" xr:uid="{32E11379-7373-4937-821B-AF07FB1ED5D0}"/>
    <cellStyle name="20% - Accent5 2 9" xfId="4538" xr:uid="{00000000-0005-0000-0000-0000D1020000}"/>
    <cellStyle name="20% - Accent5 2 9 2" xfId="12980" xr:uid="{47AC32DE-3A0A-462B-BC87-9F22CC0B5688}"/>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2 2 2" xfId="15544" xr:uid="{0F8174D5-BDBD-4760-B159-AB63EF2C643B}"/>
    <cellStyle name="20% - Accent5 3 2 2 2 3" xfId="11326" xr:uid="{5129D778-9FFF-4033-A62D-D82EFD0FCE35}"/>
    <cellStyle name="20% - Accent5 3 2 2 3" xfId="4957" xr:uid="{00000000-0005-0000-0000-0000D7020000}"/>
    <cellStyle name="20% - Accent5 3 2 2 3 2" xfId="13399" xr:uid="{877A1F71-052C-4D39-B4F9-70A49526146F}"/>
    <cellStyle name="20% - Accent5 3 2 2 4" xfId="9181" xr:uid="{44AE7C10-3B19-4A41-A1FD-4AAB40646CC5}"/>
    <cellStyle name="20% - Accent5 3 2 3" xfId="1061" xr:uid="{00000000-0005-0000-0000-0000D8020000}"/>
    <cellStyle name="20% - Accent5 3 2 3 2" xfId="3292" xr:uid="{00000000-0005-0000-0000-0000D9020000}"/>
    <cellStyle name="20% - Accent5 3 2 3 2 2" xfId="7515" xr:uid="{00000000-0005-0000-0000-0000DA020000}"/>
    <cellStyle name="20% - Accent5 3 2 3 2 2 2" xfId="15957" xr:uid="{36E112E8-AA05-4800-8B65-6D87D9802393}"/>
    <cellStyle name="20% - Accent5 3 2 3 2 3" xfId="11739" xr:uid="{ABE8AFE5-29CD-48F5-88CE-5848A6C3C6B2}"/>
    <cellStyle name="20% - Accent5 3 2 3 3" xfId="5370" xr:uid="{00000000-0005-0000-0000-0000DB020000}"/>
    <cellStyle name="20% - Accent5 3 2 3 3 2" xfId="13812" xr:uid="{A072F4B8-67DD-424A-868C-1A062ADFD8B7}"/>
    <cellStyle name="20% - Accent5 3 2 3 4" xfId="9594" xr:uid="{00C10FFC-F5CC-47DD-B3F4-04B74BF9A2B2}"/>
    <cellStyle name="20% - Accent5 3 2 4" xfId="1475" xr:uid="{00000000-0005-0000-0000-0000DC020000}"/>
    <cellStyle name="20% - Accent5 3 2 4 2" xfId="3705" xr:uid="{00000000-0005-0000-0000-0000DD020000}"/>
    <cellStyle name="20% - Accent5 3 2 4 2 2" xfId="7928" xr:uid="{00000000-0005-0000-0000-0000DE020000}"/>
    <cellStyle name="20% - Accent5 3 2 4 2 2 2" xfId="16370" xr:uid="{B36EC556-8C7F-4BA3-BDFD-068F9EC436E9}"/>
    <cellStyle name="20% - Accent5 3 2 4 2 3" xfId="12152" xr:uid="{C0621A0F-2B5D-4D9C-AA3F-8E8050F48598}"/>
    <cellStyle name="20% - Accent5 3 2 4 3" xfId="5783" xr:uid="{00000000-0005-0000-0000-0000DF020000}"/>
    <cellStyle name="20% - Accent5 3 2 4 3 2" xfId="14225" xr:uid="{05AF1A93-4256-4C05-86D2-847880B70499}"/>
    <cellStyle name="20% - Accent5 3 2 4 4" xfId="10007" xr:uid="{C3459E66-B4E7-4907-9551-3B1840005798}"/>
    <cellStyle name="20% - Accent5 3 2 5" xfId="1889" xr:uid="{00000000-0005-0000-0000-0000E0020000}"/>
    <cellStyle name="20% - Accent5 3 2 5 2" xfId="4118" xr:uid="{00000000-0005-0000-0000-0000E1020000}"/>
    <cellStyle name="20% - Accent5 3 2 5 2 2" xfId="8341" xr:uid="{00000000-0005-0000-0000-0000E2020000}"/>
    <cellStyle name="20% - Accent5 3 2 5 2 2 2" xfId="16783" xr:uid="{D70BCBAB-A2F0-4BE3-90A2-0CCA43447828}"/>
    <cellStyle name="20% - Accent5 3 2 5 2 3" xfId="12565" xr:uid="{D91004B8-C305-4116-AA64-339C88EF27AE}"/>
    <cellStyle name="20% - Accent5 3 2 5 3" xfId="6196" xr:uid="{00000000-0005-0000-0000-0000E3020000}"/>
    <cellStyle name="20% - Accent5 3 2 5 3 2" xfId="14638" xr:uid="{8DE6D891-0237-48AC-B72A-34B369FC3092}"/>
    <cellStyle name="20% - Accent5 3 2 5 4" xfId="10420" xr:uid="{2F7B5BDB-E1A7-4AE0-8D5D-83FDE87C5C31}"/>
    <cellStyle name="20% - Accent5 3 2 6" xfId="2302" xr:uid="{00000000-0005-0000-0000-0000E4020000}"/>
    <cellStyle name="20% - Accent5 3 2 6 2" xfId="6609" xr:uid="{00000000-0005-0000-0000-0000E5020000}"/>
    <cellStyle name="20% - Accent5 3 2 6 2 2" xfId="15051" xr:uid="{D7978B66-352E-4C6F-AE21-7B7DFEB247D3}"/>
    <cellStyle name="20% - Accent5 3 2 6 3" xfId="10833" xr:uid="{309660E3-F1AF-45FF-AF77-DB88EFDDFCD9}"/>
    <cellStyle name="20% - Accent5 3 2 7" xfId="4543" xr:uid="{00000000-0005-0000-0000-0000E6020000}"/>
    <cellStyle name="20% - Accent5 3 2 7 2" xfId="12985" xr:uid="{924EBF88-ADE9-48BB-BE1D-818934220AB6}"/>
    <cellStyle name="20% - Accent5 3 2 8" xfId="8767" xr:uid="{2F70D109-9865-4C64-881D-7B4F0E3A8C12}"/>
    <cellStyle name="20% - Accent5 3 3" xfId="607" xr:uid="{00000000-0005-0000-0000-0000E7020000}"/>
    <cellStyle name="20% - Accent5 3 3 2" xfId="2878" xr:uid="{00000000-0005-0000-0000-0000E8020000}"/>
    <cellStyle name="20% - Accent5 3 3 2 2" xfId="7101" xr:uid="{00000000-0005-0000-0000-0000E9020000}"/>
    <cellStyle name="20% - Accent5 3 3 2 2 2" xfId="15543" xr:uid="{0003D7DD-F656-41C1-AA95-40FFE9E95AA5}"/>
    <cellStyle name="20% - Accent5 3 3 2 3" xfId="11325" xr:uid="{D8379776-C9C6-457B-B197-EA94193DC152}"/>
    <cellStyle name="20% - Accent5 3 3 3" xfId="4956" xr:uid="{00000000-0005-0000-0000-0000EA020000}"/>
    <cellStyle name="20% - Accent5 3 3 3 2" xfId="13398" xr:uid="{5A29E98C-7311-41A6-BD91-3B88E5601F39}"/>
    <cellStyle name="20% - Accent5 3 3 4" xfId="9180" xr:uid="{3F1FDB57-8488-459F-81D6-826C2CF49047}"/>
    <cellStyle name="20% - Accent5 3 4" xfId="1060" xr:uid="{00000000-0005-0000-0000-0000EB020000}"/>
    <cellStyle name="20% - Accent5 3 4 2" xfId="3291" xr:uid="{00000000-0005-0000-0000-0000EC020000}"/>
    <cellStyle name="20% - Accent5 3 4 2 2" xfId="7514" xr:uid="{00000000-0005-0000-0000-0000ED020000}"/>
    <cellStyle name="20% - Accent5 3 4 2 2 2" xfId="15956" xr:uid="{FE45105A-A61A-4BC8-82EC-44B279CDB48D}"/>
    <cellStyle name="20% - Accent5 3 4 2 3" xfId="11738" xr:uid="{1F266753-0722-4CFB-A708-CCB324B8CA3B}"/>
    <cellStyle name="20% - Accent5 3 4 3" xfId="5369" xr:uid="{00000000-0005-0000-0000-0000EE020000}"/>
    <cellStyle name="20% - Accent5 3 4 3 2" xfId="13811" xr:uid="{F2939979-246B-4C08-98A2-529380DCA6FF}"/>
    <cellStyle name="20% - Accent5 3 4 4" xfId="9593" xr:uid="{0E51FC34-5E49-4646-89EC-40A927E2F017}"/>
    <cellStyle name="20% - Accent5 3 5" xfId="1474" xr:uid="{00000000-0005-0000-0000-0000EF020000}"/>
    <cellStyle name="20% - Accent5 3 5 2" xfId="3704" xr:uid="{00000000-0005-0000-0000-0000F0020000}"/>
    <cellStyle name="20% - Accent5 3 5 2 2" xfId="7927" xr:uid="{00000000-0005-0000-0000-0000F1020000}"/>
    <cellStyle name="20% - Accent5 3 5 2 2 2" xfId="16369" xr:uid="{AD2CFA7F-3893-4ED8-9417-1B4493C22A42}"/>
    <cellStyle name="20% - Accent5 3 5 2 3" xfId="12151" xr:uid="{0CD622E6-8314-402D-A7DE-A63E9DF6D962}"/>
    <cellStyle name="20% - Accent5 3 5 3" xfId="5782" xr:uid="{00000000-0005-0000-0000-0000F2020000}"/>
    <cellStyle name="20% - Accent5 3 5 3 2" xfId="14224" xr:uid="{9C5DE6BB-8118-43C4-AE45-CAFC3731C544}"/>
    <cellStyle name="20% - Accent5 3 5 4" xfId="10006" xr:uid="{2D17391C-AB78-41D6-91C0-5189358BFB06}"/>
    <cellStyle name="20% - Accent5 3 6" xfId="1888" xr:uid="{00000000-0005-0000-0000-0000F3020000}"/>
    <cellStyle name="20% - Accent5 3 6 2" xfId="4117" xr:uid="{00000000-0005-0000-0000-0000F4020000}"/>
    <cellStyle name="20% - Accent5 3 6 2 2" xfId="8340" xr:uid="{00000000-0005-0000-0000-0000F5020000}"/>
    <cellStyle name="20% - Accent5 3 6 2 2 2" xfId="16782" xr:uid="{C9AE7F91-F467-461F-9A38-160A2D099A52}"/>
    <cellStyle name="20% - Accent5 3 6 2 3" xfId="12564" xr:uid="{29AE8412-0535-4D86-AE76-33171D1614F3}"/>
    <cellStyle name="20% - Accent5 3 6 3" xfId="6195" xr:uid="{00000000-0005-0000-0000-0000F6020000}"/>
    <cellStyle name="20% - Accent5 3 6 3 2" xfId="14637" xr:uid="{579AABBF-AAD7-4B98-A1AB-E787EB88D811}"/>
    <cellStyle name="20% - Accent5 3 6 4" xfId="10419" xr:uid="{C14BCEE6-EB9D-4A99-8DD3-A5A98343EA90}"/>
    <cellStyle name="20% - Accent5 3 7" xfId="2301" xr:uid="{00000000-0005-0000-0000-0000F7020000}"/>
    <cellStyle name="20% - Accent5 3 7 2" xfId="6608" xr:uid="{00000000-0005-0000-0000-0000F8020000}"/>
    <cellStyle name="20% - Accent5 3 7 2 2" xfId="15050" xr:uid="{122F511D-BAD3-4964-8243-2A9D81691349}"/>
    <cellStyle name="20% - Accent5 3 7 3" xfId="10832" xr:uid="{4543A20E-32B0-49D4-A3A2-CB3B43184AA7}"/>
    <cellStyle name="20% - Accent5 3 8" xfId="4542" xr:uid="{00000000-0005-0000-0000-0000F9020000}"/>
    <cellStyle name="20% - Accent5 3 8 2" xfId="12984" xr:uid="{8C7565F2-92BC-4208-9DF6-7DC21A20FC06}"/>
    <cellStyle name="20% - Accent5 3 9" xfId="8766" xr:uid="{CA17CA70-AC9F-41B7-BDA2-0A5B4CD5D298}"/>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2 2 2" xfId="15545" xr:uid="{9C187617-37E0-4EFE-99DB-DAA482731310}"/>
    <cellStyle name="20% - Accent5 4 2 2 3" xfId="11327" xr:uid="{AEA950F4-78E3-4A49-9C60-E1E316A6791C}"/>
    <cellStyle name="20% - Accent5 4 2 3" xfId="4958" xr:uid="{00000000-0005-0000-0000-0000FE020000}"/>
    <cellStyle name="20% - Accent5 4 2 3 2" xfId="13400" xr:uid="{D30FEB04-890D-4CC7-966E-EFB3E06EEAFF}"/>
    <cellStyle name="20% - Accent5 4 2 4" xfId="9182" xr:uid="{49AC4298-DF5D-44AA-BCDE-B6E30EB9E3F8}"/>
    <cellStyle name="20% - Accent5 4 3" xfId="1062" xr:uid="{00000000-0005-0000-0000-0000FF020000}"/>
    <cellStyle name="20% - Accent5 4 3 2" xfId="3293" xr:uid="{00000000-0005-0000-0000-000000030000}"/>
    <cellStyle name="20% - Accent5 4 3 2 2" xfId="7516" xr:uid="{00000000-0005-0000-0000-000001030000}"/>
    <cellStyle name="20% - Accent5 4 3 2 2 2" xfId="15958" xr:uid="{139E725C-6951-4622-8FFD-207E8DFACE03}"/>
    <cellStyle name="20% - Accent5 4 3 2 3" xfId="11740" xr:uid="{27463442-B726-4A08-BCAC-51A962CA7C8B}"/>
    <cellStyle name="20% - Accent5 4 3 3" xfId="5371" xr:uid="{00000000-0005-0000-0000-000002030000}"/>
    <cellStyle name="20% - Accent5 4 3 3 2" xfId="13813" xr:uid="{11A31391-F5FE-45B8-B68C-B54BF07335C4}"/>
    <cellStyle name="20% - Accent5 4 3 4" xfId="9595" xr:uid="{33911B4E-B494-4F5C-9E99-271F5D798AB2}"/>
    <cellStyle name="20% - Accent5 4 4" xfId="1476" xr:uid="{00000000-0005-0000-0000-000003030000}"/>
    <cellStyle name="20% - Accent5 4 4 2" xfId="3706" xr:uid="{00000000-0005-0000-0000-000004030000}"/>
    <cellStyle name="20% - Accent5 4 4 2 2" xfId="7929" xr:uid="{00000000-0005-0000-0000-000005030000}"/>
    <cellStyle name="20% - Accent5 4 4 2 2 2" xfId="16371" xr:uid="{D923C692-3508-4EB7-BFBF-8DEFA9760053}"/>
    <cellStyle name="20% - Accent5 4 4 2 3" xfId="12153" xr:uid="{0BE917E6-8BAA-482E-91C9-C5924E8C4C96}"/>
    <cellStyle name="20% - Accent5 4 4 3" xfId="5784" xr:uid="{00000000-0005-0000-0000-000006030000}"/>
    <cellStyle name="20% - Accent5 4 4 3 2" xfId="14226" xr:uid="{1FEA515C-F2ED-4588-BEA2-C3B73E0C361E}"/>
    <cellStyle name="20% - Accent5 4 4 4" xfId="10008" xr:uid="{CE91A0CE-F0AC-4E36-860A-049BB4CF5163}"/>
    <cellStyle name="20% - Accent5 4 5" xfId="1890" xr:uid="{00000000-0005-0000-0000-000007030000}"/>
    <cellStyle name="20% - Accent5 4 5 2" xfId="4119" xr:uid="{00000000-0005-0000-0000-000008030000}"/>
    <cellStyle name="20% - Accent5 4 5 2 2" xfId="8342" xr:uid="{00000000-0005-0000-0000-000009030000}"/>
    <cellStyle name="20% - Accent5 4 5 2 2 2" xfId="16784" xr:uid="{28D6B160-2A38-4EE4-9882-C200A94C0654}"/>
    <cellStyle name="20% - Accent5 4 5 2 3" xfId="12566" xr:uid="{D495BBB0-00FA-41FA-A869-94CD867BB89F}"/>
    <cellStyle name="20% - Accent5 4 5 3" xfId="6197" xr:uid="{00000000-0005-0000-0000-00000A030000}"/>
    <cellStyle name="20% - Accent5 4 5 3 2" xfId="14639" xr:uid="{2AA5526D-08E0-43F6-B9E2-CDB04884247B}"/>
    <cellStyle name="20% - Accent5 4 5 4" xfId="10421" xr:uid="{CA109E4B-226C-45C2-A42F-4E3D0C792699}"/>
    <cellStyle name="20% - Accent5 4 6" xfId="2303" xr:uid="{00000000-0005-0000-0000-00000B030000}"/>
    <cellStyle name="20% - Accent5 4 6 2" xfId="6610" xr:uid="{00000000-0005-0000-0000-00000C030000}"/>
    <cellStyle name="20% - Accent5 4 6 2 2" xfId="15052" xr:uid="{B3FDC83E-8CE7-4E1A-9D64-51A628D1162F}"/>
    <cellStyle name="20% - Accent5 4 6 3" xfId="10834" xr:uid="{713F99EA-78CC-42ED-8F7A-FF65461502E0}"/>
    <cellStyle name="20% - Accent5 4 7" xfId="4544" xr:uid="{00000000-0005-0000-0000-00000D030000}"/>
    <cellStyle name="20% - Accent5 4 7 2" xfId="12986" xr:uid="{3E1E6068-EE49-4BF0-BA7C-AD9961FE5497}"/>
    <cellStyle name="20% - Accent5 4 8" xfId="8768" xr:uid="{7EF26106-665C-46F1-AD92-1FF714858FF2}"/>
    <cellStyle name="20% - Accent5 5" xfId="602" xr:uid="{00000000-0005-0000-0000-00000E030000}"/>
    <cellStyle name="20% - Accent5 5 2" xfId="2873" xr:uid="{00000000-0005-0000-0000-00000F030000}"/>
    <cellStyle name="20% - Accent5 5 2 2" xfId="7096" xr:uid="{00000000-0005-0000-0000-000010030000}"/>
    <cellStyle name="20% - Accent5 5 2 2 2" xfId="15538" xr:uid="{7799204B-3994-46D8-B670-93F72C28CFE1}"/>
    <cellStyle name="20% - Accent5 5 2 3" xfId="11320" xr:uid="{9FD9EC07-E05A-4BE9-8B57-2CF096604746}"/>
    <cellStyle name="20% - Accent5 5 3" xfId="4951" xr:uid="{00000000-0005-0000-0000-000011030000}"/>
    <cellStyle name="20% - Accent5 5 3 2" xfId="13393" xr:uid="{E3B178C5-B46B-4C78-853B-534C86AF9BD1}"/>
    <cellStyle name="20% - Accent5 5 4" xfId="9175" xr:uid="{C4205EC5-9A60-4219-A60F-460CE1ABFB4F}"/>
    <cellStyle name="20% - Accent5 6" xfId="1055" xr:uid="{00000000-0005-0000-0000-000012030000}"/>
    <cellStyle name="20% - Accent5 6 2" xfId="3286" xr:uid="{00000000-0005-0000-0000-000013030000}"/>
    <cellStyle name="20% - Accent5 6 2 2" xfId="7509" xr:uid="{00000000-0005-0000-0000-000014030000}"/>
    <cellStyle name="20% - Accent5 6 2 2 2" xfId="15951" xr:uid="{D72039A7-365F-4016-A2CA-7FB7FF85BE83}"/>
    <cellStyle name="20% - Accent5 6 2 3" xfId="11733" xr:uid="{49F6711D-78D3-4D14-8CD9-4135A31A60B2}"/>
    <cellStyle name="20% - Accent5 6 3" xfId="5364" xr:uid="{00000000-0005-0000-0000-000015030000}"/>
    <cellStyle name="20% - Accent5 6 3 2" xfId="13806" xr:uid="{8899370E-1128-4C55-9D37-8F1ACD81D47A}"/>
    <cellStyle name="20% - Accent5 6 4" xfId="9588" xr:uid="{F1F4A143-B215-4188-97D9-1EE750792369}"/>
    <cellStyle name="20% - Accent5 7" xfId="1469" xr:uid="{00000000-0005-0000-0000-000016030000}"/>
    <cellStyle name="20% - Accent5 7 2" xfId="3699" xr:uid="{00000000-0005-0000-0000-000017030000}"/>
    <cellStyle name="20% - Accent5 7 2 2" xfId="7922" xr:uid="{00000000-0005-0000-0000-000018030000}"/>
    <cellStyle name="20% - Accent5 7 2 2 2" xfId="16364" xr:uid="{3FEE44BB-ECB9-4E62-A5C7-DF9A12A9D356}"/>
    <cellStyle name="20% - Accent5 7 2 3" xfId="12146" xr:uid="{788B8A69-523C-4E62-A4CA-D07CC8702EF7}"/>
    <cellStyle name="20% - Accent5 7 3" xfId="5777" xr:uid="{00000000-0005-0000-0000-000019030000}"/>
    <cellStyle name="20% - Accent5 7 3 2" xfId="14219" xr:uid="{0EF93430-EA31-4318-B39E-DAFD5BA37536}"/>
    <cellStyle name="20% - Accent5 7 4" xfId="10001" xr:uid="{F4756812-706B-44E9-B65D-5B419F2BC47A}"/>
    <cellStyle name="20% - Accent5 8" xfId="1883" xr:uid="{00000000-0005-0000-0000-00001A030000}"/>
    <cellStyle name="20% - Accent5 8 2" xfId="4112" xr:uid="{00000000-0005-0000-0000-00001B030000}"/>
    <cellStyle name="20% - Accent5 8 2 2" xfId="8335" xr:uid="{00000000-0005-0000-0000-00001C030000}"/>
    <cellStyle name="20% - Accent5 8 2 2 2" xfId="16777" xr:uid="{9DF5C422-58BD-4CE0-B7B8-6C80FAABA71C}"/>
    <cellStyle name="20% - Accent5 8 2 3" xfId="12559" xr:uid="{2D921B94-20D3-447B-9555-EABC950A6A8B}"/>
    <cellStyle name="20% - Accent5 8 3" xfId="6190" xr:uid="{00000000-0005-0000-0000-00001D030000}"/>
    <cellStyle name="20% - Accent5 8 3 2" xfId="14632" xr:uid="{F4323A22-297A-4446-B691-8D80D43EED80}"/>
    <cellStyle name="20% - Accent5 8 4" xfId="10414" xr:uid="{10CADE49-2F15-4AA2-B4C0-A21A88DBEBC8}"/>
    <cellStyle name="20% - Accent5 9" xfId="2296" xr:uid="{00000000-0005-0000-0000-00001E030000}"/>
    <cellStyle name="20% - Accent5 9 2" xfId="6603" xr:uid="{00000000-0005-0000-0000-00001F030000}"/>
    <cellStyle name="20% - Accent5 9 2 2" xfId="15045" xr:uid="{60657C6A-E502-4E2A-A720-E9E1A3CFA2A4}"/>
    <cellStyle name="20% - Accent5 9 3" xfId="10827" xr:uid="{9F8A968B-9E95-48EC-81A9-FE9F9D53495E}"/>
    <cellStyle name="20% - Accent6" xfId="41" builtinId="50" customBuiltin="1"/>
    <cellStyle name="20% - Accent6 10" xfId="4545" xr:uid="{00000000-0005-0000-0000-000021030000}"/>
    <cellStyle name="20% - Accent6 10 2" xfId="12987" xr:uid="{D3E00E50-DCCE-4251-B263-C24ED599BF12}"/>
    <cellStyle name="20% - Accent6 11" xfId="8769" xr:uid="{512297A1-E9D9-4F55-820B-3FA00B2EC398}"/>
    <cellStyle name="20% - Accent6 2" xfId="42" xr:uid="{00000000-0005-0000-0000-000022030000}"/>
    <cellStyle name="20% - Accent6 2 10" xfId="8770" xr:uid="{B7239F4C-D514-4181-8A4C-3F12DC0D71F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2 2 2" xfId="15549" xr:uid="{8A3506EC-FEA6-4BBE-BE8D-35B5747D6086}"/>
    <cellStyle name="20% - Accent6 2 2 2 2 2 3" xfId="11331" xr:uid="{DC3F0F75-E7A1-44A2-9630-BD2AA8EE4EC2}"/>
    <cellStyle name="20% - Accent6 2 2 2 2 3" xfId="4962" xr:uid="{00000000-0005-0000-0000-000028030000}"/>
    <cellStyle name="20% - Accent6 2 2 2 2 3 2" xfId="13404" xr:uid="{4336739D-92CC-4C71-8E24-58D35704CD82}"/>
    <cellStyle name="20% - Accent6 2 2 2 2 4" xfId="9186" xr:uid="{83D9023C-51AB-486A-8D84-C4582C62D738}"/>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2 2 2" xfId="15962" xr:uid="{954EA34A-6259-42BB-A040-207927AE190B}"/>
    <cellStyle name="20% - Accent6 2 2 2 3 2 3" xfId="11744" xr:uid="{C07ABF78-9D33-47B0-9661-942A67988037}"/>
    <cellStyle name="20% - Accent6 2 2 2 3 3" xfId="5375" xr:uid="{00000000-0005-0000-0000-00002C030000}"/>
    <cellStyle name="20% - Accent6 2 2 2 3 3 2" xfId="13817" xr:uid="{64EEC6F5-4F65-4C90-A5A9-6BB9719475C2}"/>
    <cellStyle name="20% - Accent6 2 2 2 3 4" xfId="9599" xr:uid="{F23BCCEE-25A6-4F75-A775-B83698D9FCB5}"/>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2 2 2" xfId="16375" xr:uid="{34741E45-E008-4E67-BBAC-468D8649186F}"/>
    <cellStyle name="20% - Accent6 2 2 2 4 2 3" xfId="12157" xr:uid="{D904830E-0D5B-40A8-AE67-F2EC5DB27924}"/>
    <cellStyle name="20% - Accent6 2 2 2 4 3" xfId="5788" xr:uid="{00000000-0005-0000-0000-000030030000}"/>
    <cellStyle name="20% - Accent6 2 2 2 4 3 2" xfId="14230" xr:uid="{40D5D40A-1605-407E-ABD8-E9AD46CEB5B0}"/>
    <cellStyle name="20% - Accent6 2 2 2 4 4" xfId="10012" xr:uid="{450B1662-DD27-4266-90BA-75C2F0FBEE54}"/>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2 2 2" xfId="16788" xr:uid="{276FAD43-79D7-48C9-9E86-1647FF85AA4E}"/>
    <cellStyle name="20% - Accent6 2 2 2 5 2 3" xfId="12570" xr:uid="{0635E9F3-962D-41C5-94EB-8FD572AC6C5B}"/>
    <cellStyle name="20% - Accent6 2 2 2 5 3" xfId="6201" xr:uid="{00000000-0005-0000-0000-000034030000}"/>
    <cellStyle name="20% - Accent6 2 2 2 5 3 2" xfId="14643" xr:uid="{30B486EE-8CDA-45B0-96B2-13A845DEBE0C}"/>
    <cellStyle name="20% - Accent6 2 2 2 5 4" xfId="10425" xr:uid="{9F337A23-6BA3-4243-B606-6CAF0BDBE90E}"/>
    <cellStyle name="20% - Accent6 2 2 2 6" xfId="2307" xr:uid="{00000000-0005-0000-0000-000035030000}"/>
    <cellStyle name="20% - Accent6 2 2 2 6 2" xfId="6614" xr:uid="{00000000-0005-0000-0000-000036030000}"/>
    <cellStyle name="20% - Accent6 2 2 2 6 2 2" xfId="15056" xr:uid="{006E3279-1712-4B61-9295-CDF76BBE0C5F}"/>
    <cellStyle name="20% - Accent6 2 2 2 6 3" xfId="10838" xr:uid="{3EA35283-F487-4980-A2F4-1E3A71AF2D0A}"/>
    <cellStyle name="20% - Accent6 2 2 2 7" xfId="4548" xr:uid="{00000000-0005-0000-0000-000037030000}"/>
    <cellStyle name="20% - Accent6 2 2 2 7 2" xfId="12990" xr:uid="{9451766D-DEDE-4649-84EA-C775E8F90838}"/>
    <cellStyle name="20% - Accent6 2 2 2 8" xfId="8772" xr:uid="{3659AAE8-A862-4329-803F-59C8B0D1DFE7}"/>
    <cellStyle name="20% - Accent6 2 2 3" xfId="612" xr:uid="{00000000-0005-0000-0000-000038030000}"/>
    <cellStyle name="20% - Accent6 2 2 3 2" xfId="2883" xr:uid="{00000000-0005-0000-0000-000039030000}"/>
    <cellStyle name="20% - Accent6 2 2 3 2 2" xfId="7106" xr:uid="{00000000-0005-0000-0000-00003A030000}"/>
    <cellStyle name="20% - Accent6 2 2 3 2 2 2" xfId="15548" xr:uid="{7E13176B-3EC7-425A-B6AE-88A0E662AFD5}"/>
    <cellStyle name="20% - Accent6 2 2 3 2 3" xfId="11330" xr:uid="{45506193-9EBC-4A66-92C1-B6C034BD5383}"/>
    <cellStyle name="20% - Accent6 2 2 3 3" xfId="4961" xr:uid="{00000000-0005-0000-0000-00003B030000}"/>
    <cellStyle name="20% - Accent6 2 2 3 3 2" xfId="13403" xr:uid="{EF2D3CC3-02D9-450E-8947-2D6E12E93756}"/>
    <cellStyle name="20% - Accent6 2 2 3 4" xfId="9185" xr:uid="{E5774214-C62D-4092-8EA5-E6AF3A3D14BB}"/>
    <cellStyle name="20% - Accent6 2 2 4" xfId="1065" xr:uid="{00000000-0005-0000-0000-00003C030000}"/>
    <cellStyle name="20% - Accent6 2 2 4 2" xfId="3296" xr:uid="{00000000-0005-0000-0000-00003D030000}"/>
    <cellStyle name="20% - Accent6 2 2 4 2 2" xfId="7519" xr:uid="{00000000-0005-0000-0000-00003E030000}"/>
    <cellStyle name="20% - Accent6 2 2 4 2 2 2" xfId="15961" xr:uid="{E56B116F-6130-4AC3-A37B-0D138798E3A5}"/>
    <cellStyle name="20% - Accent6 2 2 4 2 3" xfId="11743" xr:uid="{E6366CA6-9C08-477D-BF94-A245DA9DA0FF}"/>
    <cellStyle name="20% - Accent6 2 2 4 3" xfId="5374" xr:uid="{00000000-0005-0000-0000-00003F030000}"/>
    <cellStyle name="20% - Accent6 2 2 4 3 2" xfId="13816" xr:uid="{81E18616-DFCE-4EB2-B39B-A9FC6288E461}"/>
    <cellStyle name="20% - Accent6 2 2 4 4" xfId="9598" xr:uid="{B91CDDD8-E416-4EF3-A4AF-4F970E83C590}"/>
    <cellStyle name="20% - Accent6 2 2 5" xfId="1479" xr:uid="{00000000-0005-0000-0000-000040030000}"/>
    <cellStyle name="20% - Accent6 2 2 5 2" xfId="3709" xr:uid="{00000000-0005-0000-0000-000041030000}"/>
    <cellStyle name="20% - Accent6 2 2 5 2 2" xfId="7932" xr:uid="{00000000-0005-0000-0000-000042030000}"/>
    <cellStyle name="20% - Accent6 2 2 5 2 2 2" xfId="16374" xr:uid="{36244A86-D918-445B-AF28-2332107CCC1B}"/>
    <cellStyle name="20% - Accent6 2 2 5 2 3" xfId="12156" xr:uid="{D63F5459-1B27-4520-B378-E7487BE1491C}"/>
    <cellStyle name="20% - Accent6 2 2 5 3" xfId="5787" xr:uid="{00000000-0005-0000-0000-000043030000}"/>
    <cellStyle name="20% - Accent6 2 2 5 3 2" xfId="14229" xr:uid="{17A46E5B-F955-41E2-85CF-7FC154D63ACA}"/>
    <cellStyle name="20% - Accent6 2 2 5 4" xfId="10011" xr:uid="{6A189651-58FF-4819-A363-BB5C3F4C6776}"/>
    <cellStyle name="20% - Accent6 2 2 6" xfId="1893" xr:uid="{00000000-0005-0000-0000-000044030000}"/>
    <cellStyle name="20% - Accent6 2 2 6 2" xfId="4122" xr:uid="{00000000-0005-0000-0000-000045030000}"/>
    <cellStyle name="20% - Accent6 2 2 6 2 2" xfId="8345" xr:uid="{00000000-0005-0000-0000-000046030000}"/>
    <cellStyle name="20% - Accent6 2 2 6 2 2 2" xfId="16787" xr:uid="{F8E5E34C-5E0F-479E-B1FF-4C06B7F1C152}"/>
    <cellStyle name="20% - Accent6 2 2 6 2 3" xfId="12569" xr:uid="{9D373C55-4E4D-4B8D-8AEA-5DB27249F01D}"/>
    <cellStyle name="20% - Accent6 2 2 6 3" xfId="6200" xr:uid="{00000000-0005-0000-0000-000047030000}"/>
    <cellStyle name="20% - Accent6 2 2 6 3 2" xfId="14642" xr:uid="{B7A154FE-C936-4CCC-BDE7-34770A2B87C2}"/>
    <cellStyle name="20% - Accent6 2 2 6 4" xfId="10424" xr:uid="{A66830D5-49BB-497E-B39F-EB861F55F537}"/>
    <cellStyle name="20% - Accent6 2 2 7" xfId="2306" xr:uid="{00000000-0005-0000-0000-000048030000}"/>
    <cellStyle name="20% - Accent6 2 2 7 2" xfId="6613" xr:uid="{00000000-0005-0000-0000-000049030000}"/>
    <cellStyle name="20% - Accent6 2 2 7 2 2" xfId="15055" xr:uid="{32C2BEA7-56EB-4C2D-9D75-549534ED55B5}"/>
    <cellStyle name="20% - Accent6 2 2 7 3" xfId="10837" xr:uid="{C64AF632-DA91-4831-90A4-E998800127B4}"/>
    <cellStyle name="20% - Accent6 2 2 8" xfId="4547" xr:uid="{00000000-0005-0000-0000-00004A030000}"/>
    <cellStyle name="20% - Accent6 2 2 8 2" xfId="12989" xr:uid="{C822DD23-70E4-4A31-81F6-1BB461234E1A}"/>
    <cellStyle name="20% - Accent6 2 2 9" xfId="8771" xr:uid="{F5CD0D5E-DB42-48E1-AC15-F2590E0E5836}"/>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2 2 2" xfId="15550" xr:uid="{7C592FCA-FBB9-4A9E-87EE-446ECEAD873D}"/>
    <cellStyle name="20% - Accent6 2 3 2 2 3" xfId="11332" xr:uid="{27DDDDEB-B8E2-4266-9E59-F87795790D5E}"/>
    <cellStyle name="20% - Accent6 2 3 2 3" xfId="4963" xr:uid="{00000000-0005-0000-0000-00004F030000}"/>
    <cellStyle name="20% - Accent6 2 3 2 3 2" xfId="13405" xr:uid="{71383064-6AC3-47B2-9EE0-A2F0E3822D0D}"/>
    <cellStyle name="20% - Accent6 2 3 2 4" xfId="9187" xr:uid="{F9E8FBC3-59B1-45F4-BCAC-84376ABBDC78}"/>
    <cellStyle name="20% - Accent6 2 3 3" xfId="1067" xr:uid="{00000000-0005-0000-0000-000050030000}"/>
    <cellStyle name="20% - Accent6 2 3 3 2" xfId="3298" xr:uid="{00000000-0005-0000-0000-000051030000}"/>
    <cellStyle name="20% - Accent6 2 3 3 2 2" xfId="7521" xr:uid="{00000000-0005-0000-0000-000052030000}"/>
    <cellStyle name="20% - Accent6 2 3 3 2 2 2" xfId="15963" xr:uid="{A18A8340-BE37-4564-B014-96AAE8C5C2E2}"/>
    <cellStyle name="20% - Accent6 2 3 3 2 3" xfId="11745" xr:uid="{723DEE2A-8790-439B-87F2-C2CFAF56E094}"/>
    <cellStyle name="20% - Accent6 2 3 3 3" xfId="5376" xr:uid="{00000000-0005-0000-0000-000053030000}"/>
    <cellStyle name="20% - Accent6 2 3 3 3 2" xfId="13818" xr:uid="{27117D82-1C98-4413-9935-88CB531F1B72}"/>
    <cellStyle name="20% - Accent6 2 3 3 4" xfId="9600" xr:uid="{C4151275-244B-4E4D-99C2-44BE9A1E93DA}"/>
    <cellStyle name="20% - Accent6 2 3 4" xfId="1481" xr:uid="{00000000-0005-0000-0000-000054030000}"/>
    <cellStyle name="20% - Accent6 2 3 4 2" xfId="3711" xr:uid="{00000000-0005-0000-0000-000055030000}"/>
    <cellStyle name="20% - Accent6 2 3 4 2 2" xfId="7934" xr:uid="{00000000-0005-0000-0000-000056030000}"/>
    <cellStyle name="20% - Accent6 2 3 4 2 2 2" xfId="16376" xr:uid="{20EE1F54-A8F1-4ACC-8EE7-9A20534904A5}"/>
    <cellStyle name="20% - Accent6 2 3 4 2 3" xfId="12158" xr:uid="{B12008E7-F34A-4342-A925-58871A2C4AFD}"/>
    <cellStyle name="20% - Accent6 2 3 4 3" xfId="5789" xr:uid="{00000000-0005-0000-0000-000057030000}"/>
    <cellStyle name="20% - Accent6 2 3 4 3 2" xfId="14231" xr:uid="{0D27A7E0-0B9F-49CA-B428-6E15F4A91C28}"/>
    <cellStyle name="20% - Accent6 2 3 4 4" xfId="10013" xr:uid="{5AA2F91F-E21C-475D-B75F-C54A232B4A07}"/>
    <cellStyle name="20% - Accent6 2 3 5" xfId="1895" xr:uid="{00000000-0005-0000-0000-000058030000}"/>
    <cellStyle name="20% - Accent6 2 3 5 2" xfId="4124" xr:uid="{00000000-0005-0000-0000-000059030000}"/>
    <cellStyle name="20% - Accent6 2 3 5 2 2" xfId="8347" xr:uid="{00000000-0005-0000-0000-00005A030000}"/>
    <cellStyle name="20% - Accent6 2 3 5 2 2 2" xfId="16789" xr:uid="{57741CB1-BCC4-460F-A4CB-C4195271D937}"/>
    <cellStyle name="20% - Accent6 2 3 5 2 3" xfId="12571" xr:uid="{D87825F0-D191-4D81-9F44-3F51FC773146}"/>
    <cellStyle name="20% - Accent6 2 3 5 3" xfId="6202" xr:uid="{00000000-0005-0000-0000-00005B030000}"/>
    <cellStyle name="20% - Accent6 2 3 5 3 2" xfId="14644" xr:uid="{C77BF38D-5543-4B4F-9BE0-DDF67BEC04D7}"/>
    <cellStyle name="20% - Accent6 2 3 5 4" xfId="10426" xr:uid="{0BA5C92D-BAFE-4704-B9C8-A14C8788E8E5}"/>
    <cellStyle name="20% - Accent6 2 3 6" xfId="2308" xr:uid="{00000000-0005-0000-0000-00005C030000}"/>
    <cellStyle name="20% - Accent6 2 3 6 2" xfId="6615" xr:uid="{00000000-0005-0000-0000-00005D030000}"/>
    <cellStyle name="20% - Accent6 2 3 6 2 2" xfId="15057" xr:uid="{98D3D439-3DCC-4391-9E03-1A411AFD738E}"/>
    <cellStyle name="20% - Accent6 2 3 6 3" xfId="10839" xr:uid="{35F2D35A-0BF6-4525-BF3B-3DCA576E3E89}"/>
    <cellStyle name="20% - Accent6 2 3 7" xfId="4549" xr:uid="{00000000-0005-0000-0000-00005E030000}"/>
    <cellStyle name="20% - Accent6 2 3 7 2" xfId="12991" xr:uid="{E1ACBB51-CBD2-45E2-A79B-05775F6A4C44}"/>
    <cellStyle name="20% - Accent6 2 3 8" xfId="8773" xr:uid="{00F66289-67FB-403D-B8AD-7605F55A0F9C}"/>
    <cellStyle name="20% - Accent6 2 4" xfId="611" xr:uid="{00000000-0005-0000-0000-00005F030000}"/>
    <cellStyle name="20% - Accent6 2 4 2" xfId="2882" xr:uid="{00000000-0005-0000-0000-000060030000}"/>
    <cellStyle name="20% - Accent6 2 4 2 2" xfId="7105" xr:uid="{00000000-0005-0000-0000-000061030000}"/>
    <cellStyle name="20% - Accent6 2 4 2 2 2" xfId="15547" xr:uid="{88CA0C2B-3E8E-4488-A48E-613DD3DBC231}"/>
    <cellStyle name="20% - Accent6 2 4 2 3" xfId="11329" xr:uid="{26BA3EAA-DBD1-476B-A1A5-543DC97808EB}"/>
    <cellStyle name="20% - Accent6 2 4 3" xfId="4960" xr:uid="{00000000-0005-0000-0000-000062030000}"/>
    <cellStyle name="20% - Accent6 2 4 3 2" xfId="13402" xr:uid="{4D838484-5E41-4FDA-913D-0B0EF4AC4C23}"/>
    <cellStyle name="20% - Accent6 2 4 4" xfId="9184" xr:uid="{C83C024D-10CA-483A-BDD5-03F8FE4106B9}"/>
    <cellStyle name="20% - Accent6 2 5" xfId="1064" xr:uid="{00000000-0005-0000-0000-000063030000}"/>
    <cellStyle name="20% - Accent6 2 5 2" xfId="3295" xr:uid="{00000000-0005-0000-0000-000064030000}"/>
    <cellStyle name="20% - Accent6 2 5 2 2" xfId="7518" xr:uid="{00000000-0005-0000-0000-000065030000}"/>
    <cellStyle name="20% - Accent6 2 5 2 2 2" xfId="15960" xr:uid="{92203B61-3B64-4988-9721-656BED0A7A63}"/>
    <cellStyle name="20% - Accent6 2 5 2 3" xfId="11742" xr:uid="{1355156E-F37D-4F77-A6FD-0FD2A397C511}"/>
    <cellStyle name="20% - Accent6 2 5 3" xfId="5373" xr:uid="{00000000-0005-0000-0000-000066030000}"/>
    <cellStyle name="20% - Accent6 2 5 3 2" xfId="13815" xr:uid="{93CD4A59-A720-4A07-A3EE-817F087010FA}"/>
    <cellStyle name="20% - Accent6 2 5 4" xfId="9597" xr:uid="{A7326EBA-5CF0-423D-A56B-3DA259160F73}"/>
    <cellStyle name="20% - Accent6 2 6" xfId="1478" xr:uid="{00000000-0005-0000-0000-000067030000}"/>
    <cellStyle name="20% - Accent6 2 6 2" xfId="3708" xr:uid="{00000000-0005-0000-0000-000068030000}"/>
    <cellStyle name="20% - Accent6 2 6 2 2" xfId="7931" xr:uid="{00000000-0005-0000-0000-000069030000}"/>
    <cellStyle name="20% - Accent6 2 6 2 2 2" xfId="16373" xr:uid="{70B42BF6-6860-4F9D-87A7-3F9656FE31E0}"/>
    <cellStyle name="20% - Accent6 2 6 2 3" xfId="12155" xr:uid="{7D2F310D-8FCD-4BF7-A035-61A67857535B}"/>
    <cellStyle name="20% - Accent6 2 6 3" xfId="5786" xr:uid="{00000000-0005-0000-0000-00006A030000}"/>
    <cellStyle name="20% - Accent6 2 6 3 2" xfId="14228" xr:uid="{2F3B0C36-FCB7-4327-B6CF-84ADA2A1386F}"/>
    <cellStyle name="20% - Accent6 2 6 4" xfId="10010" xr:uid="{99DBEE37-4D5C-4E55-A921-46373FFC99C0}"/>
    <cellStyle name="20% - Accent6 2 7" xfId="1892" xr:uid="{00000000-0005-0000-0000-00006B030000}"/>
    <cellStyle name="20% - Accent6 2 7 2" xfId="4121" xr:uid="{00000000-0005-0000-0000-00006C030000}"/>
    <cellStyle name="20% - Accent6 2 7 2 2" xfId="8344" xr:uid="{00000000-0005-0000-0000-00006D030000}"/>
    <cellStyle name="20% - Accent6 2 7 2 2 2" xfId="16786" xr:uid="{4A5D0B73-4055-4658-A58D-C1A3CFC3A258}"/>
    <cellStyle name="20% - Accent6 2 7 2 3" xfId="12568" xr:uid="{CF2D5CAA-F909-4CC2-AC43-4A52A261D786}"/>
    <cellStyle name="20% - Accent6 2 7 3" xfId="6199" xr:uid="{00000000-0005-0000-0000-00006E030000}"/>
    <cellStyle name="20% - Accent6 2 7 3 2" xfId="14641" xr:uid="{1D74D59F-733B-48AC-8B0D-B850C6A7B740}"/>
    <cellStyle name="20% - Accent6 2 7 4" xfId="10423" xr:uid="{3AB797BF-84F8-4949-BCC0-629064F61B9C}"/>
    <cellStyle name="20% - Accent6 2 8" xfId="2305" xr:uid="{00000000-0005-0000-0000-00006F030000}"/>
    <cellStyle name="20% - Accent6 2 8 2" xfId="6612" xr:uid="{00000000-0005-0000-0000-000070030000}"/>
    <cellStyle name="20% - Accent6 2 8 2 2" xfId="15054" xr:uid="{465A3773-72A3-45D1-A547-D395065A1845}"/>
    <cellStyle name="20% - Accent6 2 8 3" xfId="10836" xr:uid="{9458B328-7542-4487-911A-6CC8022ABC6E}"/>
    <cellStyle name="20% - Accent6 2 9" xfId="4546" xr:uid="{00000000-0005-0000-0000-000071030000}"/>
    <cellStyle name="20% - Accent6 2 9 2" xfId="12988" xr:uid="{1FC6A9FE-7111-4A1D-97E4-24CB11882153}"/>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2 2 2" xfId="15552" xr:uid="{B92DBBD1-380A-4DBA-B41E-AA3637AA6EF1}"/>
    <cellStyle name="20% - Accent6 3 2 2 2 3" xfId="11334" xr:uid="{C42A324E-9356-4031-BE70-9831B34AFC3E}"/>
    <cellStyle name="20% - Accent6 3 2 2 3" xfId="4965" xr:uid="{00000000-0005-0000-0000-000077030000}"/>
    <cellStyle name="20% - Accent6 3 2 2 3 2" xfId="13407" xr:uid="{E159CCCF-9BB0-408E-844D-2F93466394B3}"/>
    <cellStyle name="20% - Accent6 3 2 2 4" xfId="9189" xr:uid="{A9C27763-1C3D-4AD3-8587-676E42F0503C}"/>
    <cellStyle name="20% - Accent6 3 2 3" xfId="1069" xr:uid="{00000000-0005-0000-0000-000078030000}"/>
    <cellStyle name="20% - Accent6 3 2 3 2" xfId="3300" xr:uid="{00000000-0005-0000-0000-000079030000}"/>
    <cellStyle name="20% - Accent6 3 2 3 2 2" xfId="7523" xr:uid="{00000000-0005-0000-0000-00007A030000}"/>
    <cellStyle name="20% - Accent6 3 2 3 2 2 2" xfId="15965" xr:uid="{4A6AB1AE-98ED-4830-987E-5237A3DEA7CF}"/>
    <cellStyle name="20% - Accent6 3 2 3 2 3" xfId="11747" xr:uid="{8EA38C35-004E-40A3-A27C-C0DD1B5785F4}"/>
    <cellStyle name="20% - Accent6 3 2 3 3" xfId="5378" xr:uid="{00000000-0005-0000-0000-00007B030000}"/>
    <cellStyle name="20% - Accent6 3 2 3 3 2" xfId="13820" xr:uid="{E0118D65-721F-43BD-83A5-A4A016A07C22}"/>
    <cellStyle name="20% - Accent6 3 2 3 4" xfId="9602" xr:uid="{7F6D989F-B465-4D84-8E73-5E9D165165A2}"/>
    <cellStyle name="20% - Accent6 3 2 4" xfId="1483" xr:uid="{00000000-0005-0000-0000-00007C030000}"/>
    <cellStyle name="20% - Accent6 3 2 4 2" xfId="3713" xr:uid="{00000000-0005-0000-0000-00007D030000}"/>
    <cellStyle name="20% - Accent6 3 2 4 2 2" xfId="7936" xr:uid="{00000000-0005-0000-0000-00007E030000}"/>
    <cellStyle name="20% - Accent6 3 2 4 2 2 2" xfId="16378" xr:uid="{B226AA31-51C4-495B-B898-C5FA665C50C0}"/>
    <cellStyle name="20% - Accent6 3 2 4 2 3" xfId="12160" xr:uid="{BBC1D5DC-EE49-4879-9293-3EBEC35167A0}"/>
    <cellStyle name="20% - Accent6 3 2 4 3" xfId="5791" xr:uid="{00000000-0005-0000-0000-00007F030000}"/>
    <cellStyle name="20% - Accent6 3 2 4 3 2" xfId="14233" xr:uid="{DFEF3E03-94C7-4E55-8F11-B67930FCC47D}"/>
    <cellStyle name="20% - Accent6 3 2 4 4" xfId="10015" xr:uid="{82944558-67B3-4C0B-8C3B-4E7A0B9D5178}"/>
    <cellStyle name="20% - Accent6 3 2 5" xfId="1897" xr:uid="{00000000-0005-0000-0000-000080030000}"/>
    <cellStyle name="20% - Accent6 3 2 5 2" xfId="4126" xr:uid="{00000000-0005-0000-0000-000081030000}"/>
    <cellStyle name="20% - Accent6 3 2 5 2 2" xfId="8349" xr:uid="{00000000-0005-0000-0000-000082030000}"/>
    <cellStyle name="20% - Accent6 3 2 5 2 2 2" xfId="16791" xr:uid="{15A857F7-06DE-495C-816B-9C32FEE6D4D6}"/>
    <cellStyle name="20% - Accent6 3 2 5 2 3" xfId="12573" xr:uid="{5DE5530D-D938-48AA-B388-4755C1962D64}"/>
    <cellStyle name="20% - Accent6 3 2 5 3" xfId="6204" xr:uid="{00000000-0005-0000-0000-000083030000}"/>
    <cellStyle name="20% - Accent6 3 2 5 3 2" xfId="14646" xr:uid="{A69D0398-E197-4546-8852-5B4195FAF592}"/>
    <cellStyle name="20% - Accent6 3 2 5 4" xfId="10428" xr:uid="{DF2C5416-5357-4E9B-8E87-2E2556FD4C75}"/>
    <cellStyle name="20% - Accent6 3 2 6" xfId="2310" xr:uid="{00000000-0005-0000-0000-000084030000}"/>
    <cellStyle name="20% - Accent6 3 2 6 2" xfId="6617" xr:uid="{00000000-0005-0000-0000-000085030000}"/>
    <cellStyle name="20% - Accent6 3 2 6 2 2" xfId="15059" xr:uid="{578B3DD7-368C-4E8E-8459-AA3884F53021}"/>
    <cellStyle name="20% - Accent6 3 2 6 3" xfId="10841" xr:uid="{666A6E3A-1A39-4182-A86E-B9B9A5C044A2}"/>
    <cellStyle name="20% - Accent6 3 2 7" xfId="4551" xr:uid="{00000000-0005-0000-0000-000086030000}"/>
    <cellStyle name="20% - Accent6 3 2 7 2" xfId="12993" xr:uid="{D800634F-B82B-40CD-96E1-5766FBA13F12}"/>
    <cellStyle name="20% - Accent6 3 2 8" xfId="8775" xr:uid="{7818FCA6-F007-4980-9D5C-E2B794703A4D}"/>
    <cellStyle name="20% - Accent6 3 3" xfId="615" xr:uid="{00000000-0005-0000-0000-000087030000}"/>
    <cellStyle name="20% - Accent6 3 3 2" xfId="2886" xr:uid="{00000000-0005-0000-0000-000088030000}"/>
    <cellStyle name="20% - Accent6 3 3 2 2" xfId="7109" xr:uid="{00000000-0005-0000-0000-000089030000}"/>
    <cellStyle name="20% - Accent6 3 3 2 2 2" xfId="15551" xr:uid="{08EAACA5-E662-48B4-80BE-6FF65C26B5B9}"/>
    <cellStyle name="20% - Accent6 3 3 2 3" xfId="11333" xr:uid="{446E2E91-9BF5-489E-93C6-0630084E9C9A}"/>
    <cellStyle name="20% - Accent6 3 3 3" xfId="4964" xr:uid="{00000000-0005-0000-0000-00008A030000}"/>
    <cellStyle name="20% - Accent6 3 3 3 2" xfId="13406" xr:uid="{B6F111AA-4DBC-4D16-B761-E21E881A5BFD}"/>
    <cellStyle name="20% - Accent6 3 3 4" xfId="9188" xr:uid="{34D69B27-12D8-4553-9F03-0B53D7BE9494}"/>
    <cellStyle name="20% - Accent6 3 4" xfId="1068" xr:uid="{00000000-0005-0000-0000-00008B030000}"/>
    <cellStyle name="20% - Accent6 3 4 2" xfId="3299" xr:uid="{00000000-0005-0000-0000-00008C030000}"/>
    <cellStyle name="20% - Accent6 3 4 2 2" xfId="7522" xr:uid="{00000000-0005-0000-0000-00008D030000}"/>
    <cellStyle name="20% - Accent6 3 4 2 2 2" xfId="15964" xr:uid="{C2D6D378-D611-4101-8A48-E78B1DAF9350}"/>
    <cellStyle name="20% - Accent6 3 4 2 3" xfId="11746" xr:uid="{65F26F38-5468-4554-9EEA-56334D590FC5}"/>
    <cellStyle name="20% - Accent6 3 4 3" xfId="5377" xr:uid="{00000000-0005-0000-0000-00008E030000}"/>
    <cellStyle name="20% - Accent6 3 4 3 2" xfId="13819" xr:uid="{A159D488-2EFD-4E95-A6E4-4AC8F3D4F5BD}"/>
    <cellStyle name="20% - Accent6 3 4 4" xfId="9601" xr:uid="{CBE5824F-AA42-43B6-A2EF-20B0D9F7D526}"/>
    <cellStyle name="20% - Accent6 3 5" xfId="1482" xr:uid="{00000000-0005-0000-0000-00008F030000}"/>
    <cellStyle name="20% - Accent6 3 5 2" xfId="3712" xr:uid="{00000000-0005-0000-0000-000090030000}"/>
    <cellStyle name="20% - Accent6 3 5 2 2" xfId="7935" xr:uid="{00000000-0005-0000-0000-000091030000}"/>
    <cellStyle name="20% - Accent6 3 5 2 2 2" xfId="16377" xr:uid="{78D3E4C5-F50A-4238-B553-1B8069CBD91C}"/>
    <cellStyle name="20% - Accent6 3 5 2 3" xfId="12159" xr:uid="{AB53F92F-03A0-4110-B76B-99377403C370}"/>
    <cellStyle name="20% - Accent6 3 5 3" xfId="5790" xr:uid="{00000000-0005-0000-0000-000092030000}"/>
    <cellStyle name="20% - Accent6 3 5 3 2" xfId="14232" xr:uid="{E66EF133-1F61-4376-B129-64C25C7C347B}"/>
    <cellStyle name="20% - Accent6 3 5 4" xfId="10014" xr:uid="{78BECC5E-F1AA-4765-B332-B49A225D1337}"/>
    <cellStyle name="20% - Accent6 3 6" xfId="1896" xr:uid="{00000000-0005-0000-0000-000093030000}"/>
    <cellStyle name="20% - Accent6 3 6 2" xfId="4125" xr:uid="{00000000-0005-0000-0000-000094030000}"/>
    <cellStyle name="20% - Accent6 3 6 2 2" xfId="8348" xr:uid="{00000000-0005-0000-0000-000095030000}"/>
    <cellStyle name="20% - Accent6 3 6 2 2 2" xfId="16790" xr:uid="{8D81B1B6-A103-4857-99D6-C5AF665BEBEA}"/>
    <cellStyle name="20% - Accent6 3 6 2 3" xfId="12572" xr:uid="{FAF8725A-C1DF-453E-9B53-13A834D6B20E}"/>
    <cellStyle name="20% - Accent6 3 6 3" xfId="6203" xr:uid="{00000000-0005-0000-0000-000096030000}"/>
    <cellStyle name="20% - Accent6 3 6 3 2" xfId="14645" xr:uid="{7EF64ED1-8084-4C67-B616-6D248C15393F}"/>
    <cellStyle name="20% - Accent6 3 6 4" xfId="10427" xr:uid="{60367537-8A6A-4D96-82D5-0D61CB16E8AD}"/>
    <cellStyle name="20% - Accent6 3 7" xfId="2309" xr:uid="{00000000-0005-0000-0000-000097030000}"/>
    <cellStyle name="20% - Accent6 3 7 2" xfId="6616" xr:uid="{00000000-0005-0000-0000-000098030000}"/>
    <cellStyle name="20% - Accent6 3 7 2 2" xfId="15058" xr:uid="{013E239D-6786-42A8-81EB-0D9C4630A50D}"/>
    <cellStyle name="20% - Accent6 3 7 3" xfId="10840" xr:uid="{4DC0D561-9F88-43FC-8313-CCDA887D2987}"/>
    <cellStyle name="20% - Accent6 3 8" xfId="4550" xr:uid="{00000000-0005-0000-0000-000099030000}"/>
    <cellStyle name="20% - Accent6 3 8 2" xfId="12992" xr:uid="{30A93ACB-BCB7-48F4-9C83-B51D4944A341}"/>
    <cellStyle name="20% - Accent6 3 9" xfId="8774" xr:uid="{CE07E1C5-0D30-4566-A530-BA9CC1C2673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2 2 2" xfId="15553" xr:uid="{21222BD8-09CF-4D0A-9880-4A3C72E0462D}"/>
    <cellStyle name="20% - Accent6 4 2 2 3" xfId="11335" xr:uid="{1CC46338-FF19-4426-BFD5-81B3E5D719DB}"/>
    <cellStyle name="20% - Accent6 4 2 3" xfId="4966" xr:uid="{00000000-0005-0000-0000-00009E030000}"/>
    <cellStyle name="20% - Accent6 4 2 3 2" xfId="13408" xr:uid="{9126FA0F-8881-4D10-A051-5A482B293D7E}"/>
    <cellStyle name="20% - Accent6 4 2 4" xfId="9190" xr:uid="{AE95835A-214E-4798-AE7E-C09673CD0899}"/>
    <cellStyle name="20% - Accent6 4 3" xfId="1070" xr:uid="{00000000-0005-0000-0000-00009F030000}"/>
    <cellStyle name="20% - Accent6 4 3 2" xfId="3301" xr:uid="{00000000-0005-0000-0000-0000A0030000}"/>
    <cellStyle name="20% - Accent6 4 3 2 2" xfId="7524" xr:uid="{00000000-0005-0000-0000-0000A1030000}"/>
    <cellStyle name="20% - Accent6 4 3 2 2 2" xfId="15966" xr:uid="{0FE3F488-99A8-4BBD-A409-98CA28708003}"/>
    <cellStyle name="20% - Accent6 4 3 2 3" xfId="11748" xr:uid="{F282AE6A-5012-4801-A17E-691B49025B1E}"/>
    <cellStyle name="20% - Accent6 4 3 3" xfId="5379" xr:uid="{00000000-0005-0000-0000-0000A2030000}"/>
    <cellStyle name="20% - Accent6 4 3 3 2" xfId="13821" xr:uid="{E7F0D894-7B10-4E6D-B00A-262B513ABE45}"/>
    <cellStyle name="20% - Accent6 4 3 4" xfId="9603" xr:uid="{4F333D73-A149-43B8-AF1B-E0C3BB6A759D}"/>
    <cellStyle name="20% - Accent6 4 4" xfId="1484" xr:uid="{00000000-0005-0000-0000-0000A3030000}"/>
    <cellStyle name="20% - Accent6 4 4 2" xfId="3714" xr:uid="{00000000-0005-0000-0000-0000A4030000}"/>
    <cellStyle name="20% - Accent6 4 4 2 2" xfId="7937" xr:uid="{00000000-0005-0000-0000-0000A5030000}"/>
    <cellStyle name="20% - Accent6 4 4 2 2 2" xfId="16379" xr:uid="{218F70D4-9D8E-47AD-A5BE-CDD2409BB5CF}"/>
    <cellStyle name="20% - Accent6 4 4 2 3" xfId="12161" xr:uid="{A16B8544-C5C9-43B2-9D0C-0F399311F7FB}"/>
    <cellStyle name="20% - Accent6 4 4 3" xfId="5792" xr:uid="{00000000-0005-0000-0000-0000A6030000}"/>
    <cellStyle name="20% - Accent6 4 4 3 2" xfId="14234" xr:uid="{1B9BC58A-77F3-4A91-9573-78E7957A6783}"/>
    <cellStyle name="20% - Accent6 4 4 4" xfId="10016" xr:uid="{B04783F1-773C-4149-B286-D8808C867638}"/>
    <cellStyle name="20% - Accent6 4 5" xfId="1898" xr:uid="{00000000-0005-0000-0000-0000A7030000}"/>
    <cellStyle name="20% - Accent6 4 5 2" xfId="4127" xr:uid="{00000000-0005-0000-0000-0000A8030000}"/>
    <cellStyle name="20% - Accent6 4 5 2 2" xfId="8350" xr:uid="{00000000-0005-0000-0000-0000A9030000}"/>
    <cellStyle name="20% - Accent6 4 5 2 2 2" xfId="16792" xr:uid="{2FB92B7D-8BC9-4C0A-8EB4-146ACE0B551C}"/>
    <cellStyle name="20% - Accent6 4 5 2 3" xfId="12574" xr:uid="{B70CB975-915A-4B95-B83F-54A92B9DFEFF}"/>
    <cellStyle name="20% - Accent6 4 5 3" xfId="6205" xr:uid="{00000000-0005-0000-0000-0000AA030000}"/>
    <cellStyle name="20% - Accent6 4 5 3 2" xfId="14647" xr:uid="{872D437F-A0A7-4D75-8388-2CF2446DF2C1}"/>
    <cellStyle name="20% - Accent6 4 5 4" xfId="10429" xr:uid="{D7673682-A30C-43BD-A4F3-31BDD7D401EB}"/>
    <cellStyle name="20% - Accent6 4 6" xfId="2311" xr:uid="{00000000-0005-0000-0000-0000AB030000}"/>
    <cellStyle name="20% - Accent6 4 6 2" xfId="6618" xr:uid="{00000000-0005-0000-0000-0000AC030000}"/>
    <cellStyle name="20% - Accent6 4 6 2 2" xfId="15060" xr:uid="{8AA4BF41-82C2-4E7A-A220-6647FA721834}"/>
    <cellStyle name="20% - Accent6 4 6 3" xfId="10842" xr:uid="{F77014C1-357F-4EF7-8843-4377A5B6A960}"/>
    <cellStyle name="20% - Accent6 4 7" xfId="4552" xr:uid="{00000000-0005-0000-0000-0000AD030000}"/>
    <cellStyle name="20% - Accent6 4 7 2" xfId="12994" xr:uid="{573D91B7-51DB-45C8-98BB-07A8FF8EE7F3}"/>
    <cellStyle name="20% - Accent6 4 8" xfId="8776" xr:uid="{8AF13A02-9F4C-44D9-9FC9-F1642F36A243}"/>
    <cellStyle name="20% - Accent6 5" xfId="610" xr:uid="{00000000-0005-0000-0000-0000AE030000}"/>
    <cellStyle name="20% - Accent6 5 2" xfId="2881" xr:uid="{00000000-0005-0000-0000-0000AF030000}"/>
    <cellStyle name="20% - Accent6 5 2 2" xfId="7104" xr:uid="{00000000-0005-0000-0000-0000B0030000}"/>
    <cellStyle name="20% - Accent6 5 2 2 2" xfId="15546" xr:uid="{BBADC4A4-0989-4A4D-AF02-917FA65D0F52}"/>
    <cellStyle name="20% - Accent6 5 2 3" xfId="11328" xr:uid="{60BB824B-06F8-4BE8-BB88-5F9F16BD10FD}"/>
    <cellStyle name="20% - Accent6 5 3" xfId="4959" xr:uid="{00000000-0005-0000-0000-0000B1030000}"/>
    <cellStyle name="20% - Accent6 5 3 2" xfId="13401" xr:uid="{B2558665-F25D-4F42-9536-4913B5E2421F}"/>
    <cellStyle name="20% - Accent6 5 4" xfId="9183" xr:uid="{48AEB94B-744C-4908-A5E7-97A3247C299B}"/>
    <cellStyle name="20% - Accent6 6" xfId="1063" xr:uid="{00000000-0005-0000-0000-0000B2030000}"/>
    <cellStyle name="20% - Accent6 6 2" xfId="3294" xr:uid="{00000000-0005-0000-0000-0000B3030000}"/>
    <cellStyle name="20% - Accent6 6 2 2" xfId="7517" xr:uid="{00000000-0005-0000-0000-0000B4030000}"/>
    <cellStyle name="20% - Accent6 6 2 2 2" xfId="15959" xr:uid="{566628B1-DCAD-4229-8BF6-6A29E05EAF19}"/>
    <cellStyle name="20% - Accent6 6 2 3" xfId="11741" xr:uid="{C7A9EB2D-4DE0-49F0-8E00-15C55D66019F}"/>
    <cellStyle name="20% - Accent6 6 3" xfId="5372" xr:uid="{00000000-0005-0000-0000-0000B5030000}"/>
    <cellStyle name="20% - Accent6 6 3 2" xfId="13814" xr:uid="{31F754B0-E92F-4AA1-88BA-28F9F785B554}"/>
    <cellStyle name="20% - Accent6 6 4" xfId="9596" xr:uid="{363C2634-1B32-4A8A-9EEF-5C494848DD5E}"/>
    <cellStyle name="20% - Accent6 7" xfId="1477" xr:uid="{00000000-0005-0000-0000-0000B6030000}"/>
    <cellStyle name="20% - Accent6 7 2" xfId="3707" xr:uid="{00000000-0005-0000-0000-0000B7030000}"/>
    <cellStyle name="20% - Accent6 7 2 2" xfId="7930" xr:uid="{00000000-0005-0000-0000-0000B8030000}"/>
    <cellStyle name="20% - Accent6 7 2 2 2" xfId="16372" xr:uid="{625295FA-BC0C-4EA8-B504-E0523ECDFA6E}"/>
    <cellStyle name="20% - Accent6 7 2 3" xfId="12154" xr:uid="{63F800A4-6B63-4EAC-AECD-981B351871C4}"/>
    <cellStyle name="20% - Accent6 7 3" xfId="5785" xr:uid="{00000000-0005-0000-0000-0000B9030000}"/>
    <cellStyle name="20% - Accent6 7 3 2" xfId="14227" xr:uid="{93E9A677-C56F-4908-A530-F51055BFD3C2}"/>
    <cellStyle name="20% - Accent6 7 4" xfId="10009" xr:uid="{F00A2838-478B-42C2-9C81-F9D36B02A88D}"/>
    <cellStyle name="20% - Accent6 8" xfId="1891" xr:uid="{00000000-0005-0000-0000-0000BA030000}"/>
    <cellStyle name="20% - Accent6 8 2" xfId="4120" xr:uid="{00000000-0005-0000-0000-0000BB030000}"/>
    <cellStyle name="20% - Accent6 8 2 2" xfId="8343" xr:uid="{00000000-0005-0000-0000-0000BC030000}"/>
    <cellStyle name="20% - Accent6 8 2 2 2" xfId="16785" xr:uid="{A00082F3-62BD-4579-A7C9-E4E64D34A0A8}"/>
    <cellStyle name="20% - Accent6 8 2 3" xfId="12567" xr:uid="{07B319A5-1166-4036-8FE9-762B17944741}"/>
    <cellStyle name="20% - Accent6 8 3" xfId="6198" xr:uid="{00000000-0005-0000-0000-0000BD030000}"/>
    <cellStyle name="20% - Accent6 8 3 2" xfId="14640" xr:uid="{387A5393-FA1A-4E80-A0BD-5B7A2F4F699B}"/>
    <cellStyle name="20% - Accent6 8 4" xfId="10422" xr:uid="{1CDDE52B-7B27-46D7-8659-EC5B8A298320}"/>
    <cellStyle name="20% - Accent6 9" xfId="2304" xr:uid="{00000000-0005-0000-0000-0000BE030000}"/>
    <cellStyle name="20% - Accent6 9 2" xfId="6611" xr:uid="{00000000-0005-0000-0000-0000BF030000}"/>
    <cellStyle name="20% - Accent6 9 2 2" xfId="15053" xr:uid="{425E5597-97E0-493F-A459-A57F477E4187}"/>
    <cellStyle name="20% - Accent6 9 3" xfId="10835" xr:uid="{E2BBEEE8-D93D-4E72-9F80-22169FD8402D}"/>
    <cellStyle name="40% - Accent1" xfId="49" builtinId="31" customBuiltin="1"/>
    <cellStyle name="40% - Accent1 10" xfId="4553" xr:uid="{00000000-0005-0000-0000-0000C1030000}"/>
    <cellStyle name="40% - Accent1 10 2" xfId="12995" xr:uid="{94588738-6D9D-4CAD-AA36-C81FB2E72316}"/>
    <cellStyle name="40% - Accent1 11" xfId="8777" xr:uid="{799EE081-D7B3-40BE-B9C9-CCEC33B5B8B8}"/>
    <cellStyle name="40% - Accent1 2" xfId="50" xr:uid="{00000000-0005-0000-0000-0000C2030000}"/>
    <cellStyle name="40% - Accent1 2 10" xfId="8778" xr:uid="{7F064363-1306-4F08-9DC6-4C2C1CB7E41E}"/>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2 2 2" xfId="15557" xr:uid="{5BB286D1-B9D2-4160-A747-D8E16AB14B04}"/>
    <cellStyle name="40% - Accent1 2 2 2 2 2 3" xfId="11339" xr:uid="{4CC9C9FB-8184-453E-9385-2ED33101E8B1}"/>
    <cellStyle name="40% - Accent1 2 2 2 2 3" xfId="4970" xr:uid="{00000000-0005-0000-0000-0000C8030000}"/>
    <cellStyle name="40% - Accent1 2 2 2 2 3 2" xfId="13412" xr:uid="{B7B9E2D7-231B-41E5-8CB9-1811714611C9}"/>
    <cellStyle name="40% - Accent1 2 2 2 2 4" xfId="9194" xr:uid="{C5275926-A747-4DCB-A3D0-FBBFC95F7A29}"/>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2 2 2" xfId="15970" xr:uid="{9A73E329-E70B-4B3D-B5C3-D711E4728AD1}"/>
    <cellStyle name="40% - Accent1 2 2 2 3 2 3" xfId="11752" xr:uid="{570272BD-65A9-4446-8D37-624A0470C70E}"/>
    <cellStyle name="40% - Accent1 2 2 2 3 3" xfId="5383" xr:uid="{00000000-0005-0000-0000-0000CC030000}"/>
    <cellStyle name="40% - Accent1 2 2 2 3 3 2" xfId="13825" xr:uid="{7DF4EBF8-88C4-4B25-A65C-0C745B89EC00}"/>
    <cellStyle name="40% - Accent1 2 2 2 3 4" xfId="9607" xr:uid="{E8DFBAF2-5290-4EF0-9BBC-B709D290EBF2}"/>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2 2 2" xfId="16383" xr:uid="{AA82AB76-1B74-473C-A193-FCA928A574F9}"/>
    <cellStyle name="40% - Accent1 2 2 2 4 2 3" xfId="12165" xr:uid="{EDE8094F-EB97-432A-9CC8-1254849BF231}"/>
    <cellStyle name="40% - Accent1 2 2 2 4 3" xfId="5796" xr:uid="{00000000-0005-0000-0000-0000D0030000}"/>
    <cellStyle name="40% - Accent1 2 2 2 4 3 2" xfId="14238" xr:uid="{8111449A-1BA5-4827-8536-1C9EE182D7A2}"/>
    <cellStyle name="40% - Accent1 2 2 2 4 4" xfId="10020" xr:uid="{EDCF743C-C3B9-4986-A62A-EC9A9C50FD48}"/>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2 2 2" xfId="16796" xr:uid="{210E5CF0-3868-4346-8B98-E614C6E3B2A5}"/>
    <cellStyle name="40% - Accent1 2 2 2 5 2 3" xfId="12578" xr:uid="{8EB7BD58-F63A-4545-9C3E-CC9898434A3E}"/>
    <cellStyle name="40% - Accent1 2 2 2 5 3" xfId="6209" xr:uid="{00000000-0005-0000-0000-0000D4030000}"/>
    <cellStyle name="40% - Accent1 2 2 2 5 3 2" xfId="14651" xr:uid="{775FD155-BB48-4B3A-A4E4-308BA5647175}"/>
    <cellStyle name="40% - Accent1 2 2 2 5 4" xfId="10433" xr:uid="{E32FACCF-3D9A-4940-9B49-AE68A185FB36}"/>
    <cellStyle name="40% - Accent1 2 2 2 6" xfId="2315" xr:uid="{00000000-0005-0000-0000-0000D5030000}"/>
    <cellStyle name="40% - Accent1 2 2 2 6 2" xfId="6622" xr:uid="{00000000-0005-0000-0000-0000D6030000}"/>
    <cellStyle name="40% - Accent1 2 2 2 6 2 2" xfId="15064" xr:uid="{622C5EC4-396D-46B6-A8BC-B0F2042A9C49}"/>
    <cellStyle name="40% - Accent1 2 2 2 6 3" xfId="10846" xr:uid="{C8A5123C-356E-4DDC-9A51-509A5900CAD0}"/>
    <cellStyle name="40% - Accent1 2 2 2 7" xfId="4556" xr:uid="{00000000-0005-0000-0000-0000D7030000}"/>
    <cellStyle name="40% - Accent1 2 2 2 7 2" xfId="12998" xr:uid="{2704C67E-DD8C-40C1-9E77-6516769A6C2F}"/>
    <cellStyle name="40% - Accent1 2 2 2 8" xfId="8780" xr:uid="{AF273777-0B67-4989-B819-31244EA31A83}"/>
    <cellStyle name="40% - Accent1 2 2 3" xfId="620" xr:uid="{00000000-0005-0000-0000-0000D8030000}"/>
    <cellStyle name="40% - Accent1 2 2 3 2" xfId="2891" xr:uid="{00000000-0005-0000-0000-0000D9030000}"/>
    <cellStyle name="40% - Accent1 2 2 3 2 2" xfId="7114" xr:uid="{00000000-0005-0000-0000-0000DA030000}"/>
    <cellStyle name="40% - Accent1 2 2 3 2 2 2" xfId="15556" xr:uid="{ED7F06D8-AE42-4DFE-A1AA-B044DF6BA53A}"/>
    <cellStyle name="40% - Accent1 2 2 3 2 3" xfId="11338" xr:uid="{17DEC2C0-2FEC-4D0F-8DB7-E8D0300575FA}"/>
    <cellStyle name="40% - Accent1 2 2 3 3" xfId="4969" xr:uid="{00000000-0005-0000-0000-0000DB030000}"/>
    <cellStyle name="40% - Accent1 2 2 3 3 2" xfId="13411" xr:uid="{E2D5F102-7F02-4C92-A433-18F83C00D909}"/>
    <cellStyle name="40% - Accent1 2 2 3 4" xfId="9193" xr:uid="{708D2ACE-F0F5-4DBB-BAB5-3A076277E55F}"/>
    <cellStyle name="40% - Accent1 2 2 4" xfId="1073" xr:uid="{00000000-0005-0000-0000-0000DC030000}"/>
    <cellStyle name="40% - Accent1 2 2 4 2" xfId="3304" xr:uid="{00000000-0005-0000-0000-0000DD030000}"/>
    <cellStyle name="40% - Accent1 2 2 4 2 2" xfId="7527" xr:uid="{00000000-0005-0000-0000-0000DE030000}"/>
    <cellStyle name="40% - Accent1 2 2 4 2 2 2" xfId="15969" xr:uid="{3DF629AE-D1F0-48E4-8B45-9216584DACAE}"/>
    <cellStyle name="40% - Accent1 2 2 4 2 3" xfId="11751" xr:uid="{CA828251-A895-4D0A-B530-70EC9FD0D539}"/>
    <cellStyle name="40% - Accent1 2 2 4 3" xfId="5382" xr:uid="{00000000-0005-0000-0000-0000DF030000}"/>
    <cellStyle name="40% - Accent1 2 2 4 3 2" xfId="13824" xr:uid="{21833F0B-0406-43BF-821C-12A9C1C9AA19}"/>
    <cellStyle name="40% - Accent1 2 2 4 4" xfId="9606" xr:uid="{E9EF1558-9365-4429-9D4C-78406527656F}"/>
    <cellStyle name="40% - Accent1 2 2 5" xfId="1487" xr:uid="{00000000-0005-0000-0000-0000E0030000}"/>
    <cellStyle name="40% - Accent1 2 2 5 2" xfId="3717" xr:uid="{00000000-0005-0000-0000-0000E1030000}"/>
    <cellStyle name="40% - Accent1 2 2 5 2 2" xfId="7940" xr:uid="{00000000-0005-0000-0000-0000E2030000}"/>
    <cellStyle name="40% - Accent1 2 2 5 2 2 2" xfId="16382" xr:uid="{C8F56EFF-C3B9-4A7B-BD47-1E7845F55BCA}"/>
    <cellStyle name="40% - Accent1 2 2 5 2 3" xfId="12164" xr:uid="{E37F5FF3-29D6-4CE4-9042-BFF3F8120559}"/>
    <cellStyle name="40% - Accent1 2 2 5 3" xfId="5795" xr:uid="{00000000-0005-0000-0000-0000E3030000}"/>
    <cellStyle name="40% - Accent1 2 2 5 3 2" xfId="14237" xr:uid="{6468308B-ACF8-4F9E-9A36-DB0E9C0E4ABE}"/>
    <cellStyle name="40% - Accent1 2 2 5 4" xfId="10019" xr:uid="{28AF6D3D-2E7C-49FF-8028-A56DB054E18B}"/>
    <cellStyle name="40% - Accent1 2 2 6" xfId="1901" xr:uid="{00000000-0005-0000-0000-0000E4030000}"/>
    <cellStyle name="40% - Accent1 2 2 6 2" xfId="4130" xr:uid="{00000000-0005-0000-0000-0000E5030000}"/>
    <cellStyle name="40% - Accent1 2 2 6 2 2" xfId="8353" xr:uid="{00000000-0005-0000-0000-0000E6030000}"/>
    <cellStyle name="40% - Accent1 2 2 6 2 2 2" xfId="16795" xr:uid="{2AEC95CA-EA13-4B23-9C2F-FD9194974EBA}"/>
    <cellStyle name="40% - Accent1 2 2 6 2 3" xfId="12577" xr:uid="{F4213D59-561A-4776-9166-DBF3E3532B21}"/>
    <cellStyle name="40% - Accent1 2 2 6 3" xfId="6208" xr:uid="{00000000-0005-0000-0000-0000E7030000}"/>
    <cellStyle name="40% - Accent1 2 2 6 3 2" xfId="14650" xr:uid="{7D015E37-F89E-4187-B59E-7DF1600D6665}"/>
    <cellStyle name="40% - Accent1 2 2 6 4" xfId="10432" xr:uid="{2F00BF2C-DC5D-4F61-9A4C-AE79890EE090}"/>
    <cellStyle name="40% - Accent1 2 2 7" xfId="2314" xr:uid="{00000000-0005-0000-0000-0000E8030000}"/>
    <cellStyle name="40% - Accent1 2 2 7 2" xfId="6621" xr:uid="{00000000-0005-0000-0000-0000E9030000}"/>
    <cellStyle name="40% - Accent1 2 2 7 2 2" xfId="15063" xr:uid="{52898354-2193-4259-B2EC-27F7C754A651}"/>
    <cellStyle name="40% - Accent1 2 2 7 3" xfId="10845" xr:uid="{766BAABE-FA52-4F07-9848-E50815D3C541}"/>
    <cellStyle name="40% - Accent1 2 2 8" xfId="4555" xr:uid="{00000000-0005-0000-0000-0000EA030000}"/>
    <cellStyle name="40% - Accent1 2 2 8 2" xfId="12997" xr:uid="{F838D496-CDC7-4D60-8F99-001E8D33CDB7}"/>
    <cellStyle name="40% - Accent1 2 2 9" xfId="8779" xr:uid="{867ED404-241B-4270-A12E-7148D906778C}"/>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2 2 2" xfId="15558" xr:uid="{D8FA305E-5936-478A-AC32-F4E85FD34A47}"/>
    <cellStyle name="40% - Accent1 2 3 2 2 3" xfId="11340" xr:uid="{5040027D-EEEB-44D7-96B2-491609B56E50}"/>
    <cellStyle name="40% - Accent1 2 3 2 3" xfId="4971" xr:uid="{00000000-0005-0000-0000-0000EF030000}"/>
    <cellStyle name="40% - Accent1 2 3 2 3 2" xfId="13413" xr:uid="{92298BA6-BBAB-4B25-965E-F859FCC60E93}"/>
    <cellStyle name="40% - Accent1 2 3 2 4" xfId="9195" xr:uid="{15A064D2-3F19-48C7-9B2A-BFAF46FF4870}"/>
    <cellStyle name="40% - Accent1 2 3 3" xfId="1075" xr:uid="{00000000-0005-0000-0000-0000F0030000}"/>
    <cellStyle name="40% - Accent1 2 3 3 2" xfId="3306" xr:uid="{00000000-0005-0000-0000-0000F1030000}"/>
    <cellStyle name="40% - Accent1 2 3 3 2 2" xfId="7529" xr:uid="{00000000-0005-0000-0000-0000F2030000}"/>
    <cellStyle name="40% - Accent1 2 3 3 2 2 2" xfId="15971" xr:uid="{F8BB26D7-FFE5-4452-AB26-BABF1856E68D}"/>
    <cellStyle name="40% - Accent1 2 3 3 2 3" xfId="11753" xr:uid="{C2FE2084-9D98-48D0-AAE7-47B8A6775500}"/>
    <cellStyle name="40% - Accent1 2 3 3 3" xfId="5384" xr:uid="{00000000-0005-0000-0000-0000F3030000}"/>
    <cellStyle name="40% - Accent1 2 3 3 3 2" xfId="13826" xr:uid="{4A89C50B-8A34-4614-9349-9AADFB65326D}"/>
    <cellStyle name="40% - Accent1 2 3 3 4" xfId="9608" xr:uid="{F8019ECA-8B17-494B-8738-DF237AF40251}"/>
    <cellStyle name="40% - Accent1 2 3 4" xfId="1489" xr:uid="{00000000-0005-0000-0000-0000F4030000}"/>
    <cellStyle name="40% - Accent1 2 3 4 2" xfId="3719" xr:uid="{00000000-0005-0000-0000-0000F5030000}"/>
    <cellStyle name="40% - Accent1 2 3 4 2 2" xfId="7942" xr:uid="{00000000-0005-0000-0000-0000F6030000}"/>
    <cellStyle name="40% - Accent1 2 3 4 2 2 2" xfId="16384" xr:uid="{AA5AAF3B-2C93-4502-B1D7-CBBE6A184A07}"/>
    <cellStyle name="40% - Accent1 2 3 4 2 3" xfId="12166" xr:uid="{3C6A5EB7-5E1D-4F78-BD65-6C2582BB6BAF}"/>
    <cellStyle name="40% - Accent1 2 3 4 3" xfId="5797" xr:uid="{00000000-0005-0000-0000-0000F7030000}"/>
    <cellStyle name="40% - Accent1 2 3 4 3 2" xfId="14239" xr:uid="{D60D929C-65EF-4669-A6E4-9810E5381FE2}"/>
    <cellStyle name="40% - Accent1 2 3 4 4" xfId="10021" xr:uid="{C7D8E8E9-2449-4A0F-9ED8-4D81DFF62F40}"/>
    <cellStyle name="40% - Accent1 2 3 5" xfId="1903" xr:uid="{00000000-0005-0000-0000-0000F8030000}"/>
    <cellStyle name="40% - Accent1 2 3 5 2" xfId="4132" xr:uid="{00000000-0005-0000-0000-0000F9030000}"/>
    <cellStyle name="40% - Accent1 2 3 5 2 2" xfId="8355" xr:uid="{00000000-0005-0000-0000-0000FA030000}"/>
    <cellStyle name="40% - Accent1 2 3 5 2 2 2" xfId="16797" xr:uid="{5B8DE55B-4C67-4472-A9CB-3E7DFC02D674}"/>
    <cellStyle name="40% - Accent1 2 3 5 2 3" xfId="12579" xr:uid="{2B36E41C-0CA9-4F02-8630-6A04E64D332D}"/>
    <cellStyle name="40% - Accent1 2 3 5 3" xfId="6210" xr:uid="{00000000-0005-0000-0000-0000FB030000}"/>
    <cellStyle name="40% - Accent1 2 3 5 3 2" xfId="14652" xr:uid="{A3747D52-0D55-4969-B421-14B45F24EE21}"/>
    <cellStyle name="40% - Accent1 2 3 5 4" xfId="10434" xr:uid="{6FA78A8C-F807-4E5F-AF4A-684F56C403E4}"/>
    <cellStyle name="40% - Accent1 2 3 6" xfId="2316" xr:uid="{00000000-0005-0000-0000-0000FC030000}"/>
    <cellStyle name="40% - Accent1 2 3 6 2" xfId="6623" xr:uid="{00000000-0005-0000-0000-0000FD030000}"/>
    <cellStyle name="40% - Accent1 2 3 6 2 2" xfId="15065" xr:uid="{AFCC9C98-0FC3-4A4A-BD9A-B3E11A00940B}"/>
    <cellStyle name="40% - Accent1 2 3 6 3" xfId="10847" xr:uid="{29E67F01-35A3-4CFD-8645-E6DB97476A6E}"/>
    <cellStyle name="40% - Accent1 2 3 7" xfId="4557" xr:uid="{00000000-0005-0000-0000-0000FE030000}"/>
    <cellStyle name="40% - Accent1 2 3 7 2" xfId="12999" xr:uid="{3D62EC37-768A-4837-9559-120E69AC2C91}"/>
    <cellStyle name="40% - Accent1 2 3 8" xfId="8781" xr:uid="{1738C93A-A8A3-448C-9D8A-C1D065563343}"/>
    <cellStyle name="40% - Accent1 2 4" xfId="619" xr:uid="{00000000-0005-0000-0000-0000FF030000}"/>
    <cellStyle name="40% - Accent1 2 4 2" xfId="2890" xr:uid="{00000000-0005-0000-0000-000000040000}"/>
    <cellStyle name="40% - Accent1 2 4 2 2" xfId="7113" xr:uid="{00000000-0005-0000-0000-000001040000}"/>
    <cellStyle name="40% - Accent1 2 4 2 2 2" xfId="15555" xr:uid="{7D0CFFAE-2715-4EAE-8095-AD26DBD565FE}"/>
    <cellStyle name="40% - Accent1 2 4 2 3" xfId="11337" xr:uid="{CDBE9BB6-6D08-4930-BD8C-6D7E38B0DF87}"/>
    <cellStyle name="40% - Accent1 2 4 3" xfId="4968" xr:uid="{00000000-0005-0000-0000-000002040000}"/>
    <cellStyle name="40% - Accent1 2 4 3 2" xfId="13410" xr:uid="{B894FCF9-70EC-4687-843A-C3D5EFBD7A43}"/>
    <cellStyle name="40% - Accent1 2 4 4" xfId="9192" xr:uid="{DB52F15E-6A23-477F-93DB-5092CE214392}"/>
    <cellStyle name="40% - Accent1 2 5" xfId="1072" xr:uid="{00000000-0005-0000-0000-000003040000}"/>
    <cellStyle name="40% - Accent1 2 5 2" xfId="3303" xr:uid="{00000000-0005-0000-0000-000004040000}"/>
    <cellStyle name="40% - Accent1 2 5 2 2" xfId="7526" xr:uid="{00000000-0005-0000-0000-000005040000}"/>
    <cellStyle name="40% - Accent1 2 5 2 2 2" xfId="15968" xr:uid="{5E05B676-3EEB-4D42-82E7-6AB2D5B86FFE}"/>
    <cellStyle name="40% - Accent1 2 5 2 3" xfId="11750" xr:uid="{6EB330DD-2C7D-47E7-8820-D3182D767044}"/>
    <cellStyle name="40% - Accent1 2 5 3" xfId="5381" xr:uid="{00000000-0005-0000-0000-000006040000}"/>
    <cellStyle name="40% - Accent1 2 5 3 2" xfId="13823" xr:uid="{40026D07-A837-4A09-BB43-FC47059E8C9E}"/>
    <cellStyle name="40% - Accent1 2 5 4" xfId="9605" xr:uid="{154147D6-6DB8-41C9-AE26-4AA587B9F2C7}"/>
    <cellStyle name="40% - Accent1 2 6" xfId="1486" xr:uid="{00000000-0005-0000-0000-000007040000}"/>
    <cellStyle name="40% - Accent1 2 6 2" xfId="3716" xr:uid="{00000000-0005-0000-0000-000008040000}"/>
    <cellStyle name="40% - Accent1 2 6 2 2" xfId="7939" xr:uid="{00000000-0005-0000-0000-000009040000}"/>
    <cellStyle name="40% - Accent1 2 6 2 2 2" xfId="16381" xr:uid="{B7F6CFA6-993D-4E01-BF60-8EE894D35F32}"/>
    <cellStyle name="40% - Accent1 2 6 2 3" xfId="12163" xr:uid="{5E5B6348-C1CB-46C7-BBBB-809202B35CE0}"/>
    <cellStyle name="40% - Accent1 2 6 3" xfId="5794" xr:uid="{00000000-0005-0000-0000-00000A040000}"/>
    <cellStyle name="40% - Accent1 2 6 3 2" xfId="14236" xr:uid="{ADD103A0-1AAD-4019-9E1E-456D6CD3E3EB}"/>
    <cellStyle name="40% - Accent1 2 6 4" xfId="10018" xr:uid="{3279DCF0-4EA8-48F2-B90D-04A1CCE7545E}"/>
    <cellStyle name="40% - Accent1 2 7" xfId="1900" xr:uid="{00000000-0005-0000-0000-00000B040000}"/>
    <cellStyle name="40% - Accent1 2 7 2" xfId="4129" xr:uid="{00000000-0005-0000-0000-00000C040000}"/>
    <cellStyle name="40% - Accent1 2 7 2 2" xfId="8352" xr:uid="{00000000-0005-0000-0000-00000D040000}"/>
    <cellStyle name="40% - Accent1 2 7 2 2 2" xfId="16794" xr:uid="{9C619ADE-86DC-427F-84E2-8C86B4C2DAB0}"/>
    <cellStyle name="40% - Accent1 2 7 2 3" xfId="12576" xr:uid="{49DC6F3D-E989-4ECC-B9FD-CBBB9721E17C}"/>
    <cellStyle name="40% - Accent1 2 7 3" xfId="6207" xr:uid="{00000000-0005-0000-0000-00000E040000}"/>
    <cellStyle name="40% - Accent1 2 7 3 2" xfId="14649" xr:uid="{638CA9A4-7093-4AE4-94FC-8DC549C8BD8A}"/>
    <cellStyle name="40% - Accent1 2 7 4" xfId="10431" xr:uid="{6A90F233-D7DC-437C-8895-D16217A738EB}"/>
    <cellStyle name="40% - Accent1 2 8" xfId="2313" xr:uid="{00000000-0005-0000-0000-00000F040000}"/>
    <cellStyle name="40% - Accent1 2 8 2" xfId="6620" xr:uid="{00000000-0005-0000-0000-000010040000}"/>
    <cellStyle name="40% - Accent1 2 8 2 2" xfId="15062" xr:uid="{CACA6A15-3B20-48B0-B2FB-EC812033F0A5}"/>
    <cellStyle name="40% - Accent1 2 8 3" xfId="10844" xr:uid="{F543CDC6-7220-4DBB-AEA6-AD1E91C26F95}"/>
    <cellStyle name="40% - Accent1 2 9" xfId="4554" xr:uid="{00000000-0005-0000-0000-000011040000}"/>
    <cellStyle name="40% - Accent1 2 9 2" xfId="12996" xr:uid="{6780BDF6-BC12-4A87-A3D5-3F5B6C8226B4}"/>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2 2 2" xfId="15560" xr:uid="{38828B07-A4A7-4579-A5E7-DAC1B16D0DC6}"/>
    <cellStyle name="40% - Accent1 3 2 2 2 3" xfId="11342" xr:uid="{859F5780-30BF-4301-8265-99C4DA477A0B}"/>
    <cellStyle name="40% - Accent1 3 2 2 3" xfId="4973" xr:uid="{00000000-0005-0000-0000-000017040000}"/>
    <cellStyle name="40% - Accent1 3 2 2 3 2" xfId="13415" xr:uid="{E2786DB2-B4D4-4AFA-BD47-6943960929A7}"/>
    <cellStyle name="40% - Accent1 3 2 2 4" xfId="9197" xr:uid="{F0DD0C5C-A926-47DA-B4AA-DBB2F9A613A6}"/>
    <cellStyle name="40% - Accent1 3 2 3" xfId="1077" xr:uid="{00000000-0005-0000-0000-000018040000}"/>
    <cellStyle name="40% - Accent1 3 2 3 2" xfId="3308" xr:uid="{00000000-0005-0000-0000-000019040000}"/>
    <cellStyle name="40% - Accent1 3 2 3 2 2" xfId="7531" xr:uid="{00000000-0005-0000-0000-00001A040000}"/>
    <cellStyle name="40% - Accent1 3 2 3 2 2 2" xfId="15973" xr:uid="{BD879583-8143-41A4-82A7-9D1285C0A500}"/>
    <cellStyle name="40% - Accent1 3 2 3 2 3" xfId="11755" xr:uid="{1388BF71-744C-468C-9550-6734E24ABBAD}"/>
    <cellStyle name="40% - Accent1 3 2 3 3" xfId="5386" xr:uid="{00000000-0005-0000-0000-00001B040000}"/>
    <cellStyle name="40% - Accent1 3 2 3 3 2" xfId="13828" xr:uid="{8A4DADF5-801C-4550-A6F4-F6566FCCDDD1}"/>
    <cellStyle name="40% - Accent1 3 2 3 4" xfId="9610" xr:uid="{CC07A41C-20CF-4690-9520-2D5E4FFDA6E5}"/>
    <cellStyle name="40% - Accent1 3 2 4" xfId="1491" xr:uid="{00000000-0005-0000-0000-00001C040000}"/>
    <cellStyle name="40% - Accent1 3 2 4 2" xfId="3721" xr:uid="{00000000-0005-0000-0000-00001D040000}"/>
    <cellStyle name="40% - Accent1 3 2 4 2 2" xfId="7944" xr:uid="{00000000-0005-0000-0000-00001E040000}"/>
    <cellStyle name="40% - Accent1 3 2 4 2 2 2" xfId="16386" xr:uid="{940EFFB0-21A1-4DF9-8F2A-B4A57429B8D0}"/>
    <cellStyle name="40% - Accent1 3 2 4 2 3" xfId="12168" xr:uid="{C49AC578-11A3-4EF0-98E6-F59AEDA7C7AC}"/>
    <cellStyle name="40% - Accent1 3 2 4 3" xfId="5799" xr:uid="{00000000-0005-0000-0000-00001F040000}"/>
    <cellStyle name="40% - Accent1 3 2 4 3 2" xfId="14241" xr:uid="{32E922D2-EFEE-4CDE-B2BF-C350721FA004}"/>
    <cellStyle name="40% - Accent1 3 2 4 4" xfId="10023" xr:uid="{711406FF-D58E-45D4-B772-122D4B507535}"/>
    <cellStyle name="40% - Accent1 3 2 5" xfId="1905" xr:uid="{00000000-0005-0000-0000-000020040000}"/>
    <cellStyle name="40% - Accent1 3 2 5 2" xfId="4134" xr:uid="{00000000-0005-0000-0000-000021040000}"/>
    <cellStyle name="40% - Accent1 3 2 5 2 2" xfId="8357" xr:uid="{00000000-0005-0000-0000-000022040000}"/>
    <cellStyle name="40% - Accent1 3 2 5 2 2 2" xfId="16799" xr:uid="{E7928B2D-8844-423F-9DAC-26D6FCC9DBD8}"/>
    <cellStyle name="40% - Accent1 3 2 5 2 3" xfId="12581" xr:uid="{0D358521-71C9-448A-B1FF-E347A5DF5F2A}"/>
    <cellStyle name="40% - Accent1 3 2 5 3" xfId="6212" xr:uid="{00000000-0005-0000-0000-000023040000}"/>
    <cellStyle name="40% - Accent1 3 2 5 3 2" xfId="14654" xr:uid="{5D191A6C-7597-4659-B9D0-3AA4468CBEEC}"/>
    <cellStyle name="40% - Accent1 3 2 5 4" xfId="10436" xr:uid="{1AA67A97-8409-4D42-B100-705EE4F0D7FE}"/>
    <cellStyle name="40% - Accent1 3 2 6" xfId="2318" xr:uid="{00000000-0005-0000-0000-000024040000}"/>
    <cellStyle name="40% - Accent1 3 2 6 2" xfId="6625" xr:uid="{00000000-0005-0000-0000-000025040000}"/>
    <cellStyle name="40% - Accent1 3 2 6 2 2" xfId="15067" xr:uid="{595241B7-40D4-4E14-B631-939BD1A4F99E}"/>
    <cellStyle name="40% - Accent1 3 2 6 3" xfId="10849" xr:uid="{DAD122B0-3E23-470C-A360-C19BFBC1672F}"/>
    <cellStyle name="40% - Accent1 3 2 7" xfId="4559" xr:uid="{00000000-0005-0000-0000-000026040000}"/>
    <cellStyle name="40% - Accent1 3 2 7 2" xfId="13001" xr:uid="{BFF8BD82-0807-4159-9117-BBFAFCD8979E}"/>
    <cellStyle name="40% - Accent1 3 2 8" xfId="8783" xr:uid="{B60BA01F-1BBA-4CD6-8582-30BFB7DA8F86}"/>
    <cellStyle name="40% - Accent1 3 3" xfId="623" xr:uid="{00000000-0005-0000-0000-000027040000}"/>
    <cellStyle name="40% - Accent1 3 3 2" xfId="2894" xr:uid="{00000000-0005-0000-0000-000028040000}"/>
    <cellStyle name="40% - Accent1 3 3 2 2" xfId="7117" xr:uid="{00000000-0005-0000-0000-000029040000}"/>
    <cellStyle name="40% - Accent1 3 3 2 2 2" xfId="15559" xr:uid="{A0F6E3CC-4890-4438-8683-1E63E06B7C24}"/>
    <cellStyle name="40% - Accent1 3 3 2 3" xfId="11341" xr:uid="{F11B2EFC-73B5-4034-9217-790AC6F945B5}"/>
    <cellStyle name="40% - Accent1 3 3 3" xfId="4972" xr:uid="{00000000-0005-0000-0000-00002A040000}"/>
    <cellStyle name="40% - Accent1 3 3 3 2" xfId="13414" xr:uid="{96887E15-2F2A-4883-AF7A-84D7A7BDE0C9}"/>
    <cellStyle name="40% - Accent1 3 3 4" xfId="9196" xr:uid="{99E67A65-1D58-4ECC-81AF-66DB6ED536CE}"/>
    <cellStyle name="40% - Accent1 3 4" xfId="1076" xr:uid="{00000000-0005-0000-0000-00002B040000}"/>
    <cellStyle name="40% - Accent1 3 4 2" xfId="3307" xr:uid="{00000000-0005-0000-0000-00002C040000}"/>
    <cellStyle name="40% - Accent1 3 4 2 2" xfId="7530" xr:uid="{00000000-0005-0000-0000-00002D040000}"/>
    <cellStyle name="40% - Accent1 3 4 2 2 2" xfId="15972" xr:uid="{38CAA786-194E-474A-A56A-1D85C4332943}"/>
    <cellStyle name="40% - Accent1 3 4 2 3" xfId="11754" xr:uid="{C24402A6-C2FC-41C0-908C-648A4E38DBF2}"/>
    <cellStyle name="40% - Accent1 3 4 3" xfId="5385" xr:uid="{00000000-0005-0000-0000-00002E040000}"/>
    <cellStyle name="40% - Accent1 3 4 3 2" xfId="13827" xr:uid="{9BBC7700-2BBF-4FFA-8C91-35E66B0A0EF4}"/>
    <cellStyle name="40% - Accent1 3 4 4" xfId="9609" xr:uid="{49DA8E32-6E78-48AD-8D7D-D6A4DD1E4723}"/>
    <cellStyle name="40% - Accent1 3 5" xfId="1490" xr:uid="{00000000-0005-0000-0000-00002F040000}"/>
    <cellStyle name="40% - Accent1 3 5 2" xfId="3720" xr:uid="{00000000-0005-0000-0000-000030040000}"/>
    <cellStyle name="40% - Accent1 3 5 2 2" xfId="7943" xr:uid="{00000000-0005-0000-0000-000031040000}"/>
    <cellStyle name="40% - Accent1 3 5 2 2 2" xfId="16385" xr:uid="{5E49AE3F-5127-4A86-A394-BDD16DEFE27B}"/>
    <cellStyle name="40% - Accent1 3 5 2 3" xfId="12167" xr:uid="{D67A1001-EDC9-43E1-BEE5-E96A652CC318}"/>
    <cellStyle name="40% - Accent1 3 5 3" xfId="5798" xr:uid="{00000000-0005-0000-0000-000032040000}"/>
    <cellStyle name="40% - Accent1 3 5 3 2" xfId="14240" xr:uid="{F3FF0106-023C-4444-9C41-701ADEB45B27}"/>
    <cellStyle name="40% - Accent1 3 5 4" xfId="10022" xr:uid="{8A0896AB-20A9-4C87-AACE-2C1B5ACA9EDF}"/>
    <cellStyle name="40% - Accent1 3 6" xfId="1904" xr:uid="{00000000-0005-0000-0000-000033040000}"/>
    <cellStyle name="40% - Accent1 3 6 2" xfId="4133" xr:uid="{00000000-0005-0000-0000-000034040000}"/>
    <cellStyle name="40% - Accent1 3 6 2 2" xfId="8356" xr:uid="{00000000-0005-0000-0000-000035040000}"/>
    <cellStyle name="40% - Accent1 3 6 2 2 2" xfId="16798" xr:uid="{F766A737-FC58-4082-AD52-57E3596FA422}"/>
    <cellStyle name="40% - Accent1 3 6 2 3" xfId="12580" xr:uid="{F1FE8275-BE8A-4791-9036-DB0B7B82840D}"/>
    <cellStyle name="40% - Accent1 3 6 3" xfId="6211" xr:uid="{00000000-0005-0000-0000-000036040000}"/>
    <cellStyle name="40% - Accent1 3 6 3 2" xfId="14653" xr:uid="{E01FD6EB-1CFB-48AE-8B5F-ED0845029B9F}"/>
    <cellStyle name="40% - Accent1 3 6 4" xfId="10435" xr:uid="{A4F8CE57-FDD6-43B2-A80C-887B227ECA86}"/>
    <cellStyle name="40% - Accent1 3 7" xfId="2317" xr:uid="{00000000-0005-0000-0000-000037040000}"/>
    <cellStyle name="40% - Accent1 3 7 2" xfId="6624" xr:uid="{00000000-0005-0000-0000-000038040000}"/>
    <cellStyle name="40% - Accent1 3 7 2 2" xfId="15066" xr:uid="{41DC8D31-8009-4A86-A418-46E79F898E92}"/>
    <cellStyle name="40% - Accent1 3 7 3" xfId="10848" xr:uid="{6B068002-C90C-45C2-8454-3244927DB5F1}"/>
    <cellStyle name="40% - Accent1 3 8" xfId="4558" xr:uid="{00000000-0005-0000-0000-000039040000}"/>
    <cellStyle name="40% - Accent1 3 8 2" xfId="13000" xr:uid="{5BA908B4-2139-4499-94D6-0C2D25E560C7}"/>
    <cellStyle name="40% - Accent1 3 9" xfId="8782" xr:uid="{6CFA865D-4B77-4847-B0AF-B22B0D7E1B81}"/>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2 2 2" xfId="15561" xr:uid="{2D758264-F3AD-4882-A7B3-7B9B248088EC}"/>
    <cellStyle name="40% - Accent1 4 2 2 3" xfId="11343" xr:uid="{1A087D2B-985E-49DE-83FD-853D303D879C}"/>
    <cellStyle name="40% - Accent1 4 2 3" xfId="4974" xr:uid="{00000000-0005-0000-0000-00003E040000}"/>
    <cellStyle name="40% - Accent1 4 2 3 2" xfId="13416" xr:uid="{F7A06102-A359-4021-BE65-2ABA84F21FDD}"/>
    <cellStyle name="40% - Accent1 4 2 4" xfId="9198" xr:uid="{7E40A353-18E3-4BFC-8E2F-3DA19B95060C}"/>
    <cellStyle name="40% - Accent1 4 3" xfId="1078" xr:uid="{00000000-0005-0000-0000-00003F040000}"/>
    <cellStyle name="40% - Accent1 4 3 2" xfId="3309" xr:uid="{00000000-0005-0000-0000-000040040000}"/>
    <cellStyle name="40% - Accent1 4 3 2 2" xfId="7532" xr:uid="{00000000-0005-0000-0000-000041040000}"/>
    <cellStyle name="40% - Accent1 4 3 2 2 2" xfId="15974" xr:uid="{30F8A9DC-D23A-4535-A941-868D76C6ADA3}"/>
    <cellStyle name="40% - Accent1 4 3 2 3" xfId="11756" xr:uid="{9285FB96-EE4E-4F4E-8C58-ABE15F835935}"/>
    <cellStyle name="40% - Accent1 4 3 3" xfId="5387" xr:uid="{00000000-0005-0000-0000-000042040000}"/>
    <cellStyle name="40% - Accent1 4 3 3 2" xfId="13829" xr:uid="{E17D1006-132E-47D1-9B8C-802AED4671A2}"/>
    <cellStyle name="40% - Accent1 4 3 4" xfId="9611" xr:uid="{56DC7821-03D7-4901-9662-2AC7EE3DE1DC}"/>
    <cellStyle name="40% - Accent1 4 4" xfId="1492" xr:uid="{00000000-0005-0000-0000-000043040000}"/>
    <cellStyle name="40% - Accent1 4 4 2" xfId="3722" xr:uid="{00000000-0005-0000-0000-000044040000}"/>
    <cellStyle name="40% - Accent1 4 4 2 2" xfId="7945" xr:uid="{00000000-0005-0000-0000-000045040000}"/>
    <cellStyle name="40% - Accent1 4 4 2 2 2" xfId="16387" xr:uid="{8FFACAE5-DA1D-46E3-9145-0560666698E0}"/>
    <cellStyle name="40% - Accent1 4 4 2 3" xfId="12169" xr:uid="{84B37155-77E1-42E0-AA5D-6F24141E70E3}"/>
    <cellStyle name="40% - Accent1 4 4 3" xfId="5800" xr:uid="{00000000-0005-0000-0000-000046040000}"/>
    <cellStyle name="40% - Accent1 4 4 3 2" xfId="14242" xr:uid="{FDF37F67-4C22-4F6F-B716-58D722CFAF8B}"/>
    <cellStyle name="40% - Accent1 4 4 4" xfId="10024" xr:uid="{23931F16-2C40-4F3A-8BEE-94E1D6FBB415}"/>
    <cellStyle name="40% - Accent1 4 5" xfId="1906" xr:uid="{00000000-0005-0000-0000-000047040000}"/>
    <cellStyle name="40% - Accent1 4 5 2" xfId="4135" xr:uid="{00000000-0005-0000-0000-000048040000}"/>
    <cellStyle name="40% - Accent1 4 5 2 2" xfId="8358" xr:uid="{00000000-0005-0000-0000-000049040000}"/>
    <cellStyle name="40% - Accent1 4 5 2 2 2" xfId="16800" xr:uid="{0F142395-88BB-418B-90D8-9BB708C0CFD6}"/>
    <cellStyle name="40% - Accent1 4 5 2 3" xfId="12582" xr:uid="{952EE093-B655-4614-AED1-1017DCBE78D0}"/>
    <cellStyle name="40% - Accent1 4 5 3" xfId="6213" xr:uid="{00000000-0005-0000-0000-00004A040000}"/>
    <cellStyle name="40% - Accent1 4 5 3 2" xfId="14655" xr:uid="{A819CCC8-5E52-4D70-8AF0-58E864C57931}"/>
    <cellStyle name="40% - Accent1 4 5 4" xfId="10437" xr:uid="{E38E4F48-11D1-4EC7-97E8-4E1A3F53B783}"/>
    <cellStyle name="40% - Accent1 4 6" xfId="2319" xr:uid="{00000000-0005-0000-0000-00004B040000}"/>
    <cellStyle name="40% - Accent1 4 6 2" xfId="6626" xr:uid="{00000000-0005-0000-0000-00004C040000}"/>
    <cellStyle name="40% - Accent1 4 6 2 2" xfId="15068" xr:uid="{2C40FCC8-C9B3-4438-A585-EA1A742C1A7E}"/>
    <cellStyle name="40% - Accent1 4 6 3" xfId="10850" xr:uid="{AAA4FDC7-93A7-47E8-9AFC-82A233879C39}"/>
    <cellStyle name="40% - Accent1 4 7" xfId="4560" xr:uid="{00000000-0005-0000-0000-00004D040000}"/>
    <cellStyle name="40% - Accent1 4 7 2" xfId="13002" xr:uid="{2A50BD70-8CE6-4C15-949A-BF5C78244285}"/>
    <cellStyle name="40% - Accent1 4 8" xfId="8784" xr:uid="{BC0FAEFA-F756-487B-B5E6-D9163A01991D}"/>
    <cellStyle name="40% - Accent1 5" xfId="618" xr:uid="{00000000-0005-0000-0000-00004E040000}"/>
    <cellStyle name="40% - Accent1 5 2" xfId="2889" xr:uid="{00000000-0005-0000-0000-00004F040000}"/>
    <cellStyle name="40% - Accent1 5 2 2" xfId="7112" xr:uid="{00000000-0005-0000-0000-000050040000}"/>
    <cellStyle name="40% - Accent1 5 2 2 2" xfId="15554" xr:uid="{8F8475E3-B5B5-4550-9795-B71755386CCE}"/>
    <cellStyle name="40% - Accent1 5 2 3" xfId="11336" xr:uid="{76330C62-8F2D-4E15-B505-A6C21358C98A}"/>
    <cellStyle name="40% - Accent1 5 3" xfId="4967" xr:uid="{00000000-0005-0000-0000-000051040000}"/>
    <cellStyle name="40% - Accent1 5 3 2" xfId="13409" xr:uid="{B559DD08-77F6-4902-A710-62DAE3B313F0}"/>
    <cellStyle name="40% - Accent1 5 4" xfId="9191" xr:uid="{C0B8843E-DDE7-4370-8303-7803FC8583FB}"/>
    <cellStyle name="40% - Accent1 6" xfId="1071" xr:uid="{00000000-0005-0000-0000-000052040000}"/>
    <cellStyle name="40% - Accent1 6 2" xfId="3302" xr:uid="{00000000-0005-0000-0000-000053040000}"/>
    <cellStyle name="40% - Accent1 6 2 2" xfId="7525" xr:uid="{00000000-0005-0000-0000-000054040000}"/>
    <cellStyle name="40% - Accent1 6 2 2 2" xfId="15967" xr:uid="{3C9D339A-3260-42C3-BB2E-E60B2AB26144}"/>
    <cellStyle name="40% - Accent1 6 2 3" xfId="11749" xr:uid="{CC984A98-C367-486F-95CF-E9214EB66ED3}"/>
    <cellStyle name="40% - Accent1 6 3" xfId="5380" xr:uid="{00000000-0005-0000-0000-000055040000}"/>
    <cellStyle name="40% - Accent1 6 3 2" xfId="13822" xr:uid="{DC676A04-C829-4476-A0B9-68B0EBEAC035}"/>
    <cellStyle name="40% - Accent1 6 4" xfId="9604" xr:uid="{C246A5E4-66F6-41D1-B79C-6FED8DCC452A}"/>
    <cellStyle name="40% - Accent1 7" xfId="1485" xr:uid="{00000000-0005-0000-0000-000056040000}"/>
    <cellStyle name="40% - Accent1 7 2" xfId="3715" xr:uid="{00000000-0005-0000-0000-000057040000}"/>
    <cellStyle name="40% - Accent1 7 2 2" xfId="7938" xr:uid="{00000000-0005-0000-0000-000058040000}"/>
    <cellStyle name="40% - Accent1 7 2 2 2" xfId="16380" xr:uid="{595CFDBF-B107-4457-A714-22230DCD7995}"/>
    <cellStyle name="40% - Accent1 7 2 3" xfId="12162" xr:uid="{4747E653-CD8F-4ED3-807F-BE6EB5ED9A44}"/>
    <cellStyle name="40% - Accent1 7 3" xfId="5793" xr:uid="{00000000-0005-0000-0000-000059040000}"/>
    <cellStyle name="40% - Accent1 7 3 2" xfId="14235" xr:uid="{FDF56922-4517-423D-B318-CF084F7A8C2F}"/>
    <cellStyle name="40% - Accent1 7 4" xfId="10017" xr:uid="{10BF5307-1B44-4651-89FC-D61E8686A820}"/>
    <cellStyle name="40% - Accent1 8" xfId="1899" xr:uid="{00000000-0005-0000-0000-00005A040000}"/>
    <cellStyle name="40% - Accent1 8 2" xfId="4128" xr:uid="{00000000-0005-0000-0000-00005B040000}"/>
    <cellStyle name="40% - Accent1 8 2 2" xfId="8351" xr:uid="{00000000-0005-0000-0000-00005C040000}"/>
    <cellStyle name="40% - Accent1 8 2 2 2" xfId="16793" xr:uid="{7BB831B6-1B1C-4F86-8C0F-0380A0F7F847}"/>
    <cellStyle name="40% - Accent1 8 2 3" xfId="12575" xr:uid="{8A917D1D-9D9B-4BB3-80F5-F261440830C3}"/>
    <cellStyle name="40% - Accent1 8 3" xfId="6206" xr:uid="{00000000-0005-0000-0000-00005D040000}"/>
    <cellStyle name="40% - Accent1 8 3 2" xfId="14648" xr:uid="{65DC07AA-E80A-4FEA-B6F0-5B612607EC9A}"/>
    <cellStyle name="40% - Accent1 8 4" xfId="10430" xr:uid="{DA50DFC2-EC61-43E1-B893-21B89BADE02C}"/>
    <cellStyle name="40% - Accent1 9" xfId="2312" xr:uid="{00000000-0005-0000-0000-00005E040000}"/>
    <cellStyle name="40% - Accent1 9 2" xfId="6619" xr:uid="{00000000-0005-0000-0000-00005F040000}"/>
    <cellStyle name="40% - Accent1 9 2 2" xfId="15061" xr:uid="{55FD1F26-863D-43E6-B8B2-5F21810C9BD2}"/>
    <cellStyle name="40% - Accent1 9 3" xfId="10843" xr:uid="{6EBC96BD-DB6E-4B6A-9FD4-9E7B57F292A4}"/>
    <cellStyle name="40% - Accent2" xfId="57" builtinId="35" customBuiltin="1"/>
    <cellStyle name="40% - Accent2 10" xfId="4561" xr:uid="{00000000-0005-0000-0000-000061040000}"/>
    <cellStyle name="40% - Accent2 10 2" xfId="13003" xr:uid="{9A139FC2-80DF-4AEA-8353-D3E40A33CD07}"/>
    <cellStyle name="40% - Accent2 11" xfId="8785" xr:uid="{302CA9A6-93E4-48F5-89A8-9979BE346F16}"/>
    <cellStyle name="40% - Accent2 2" xfId="58" xr:uid="{00000000-0005-0000-0000-000062040000}"/>
    <cellStyle name="40% - Accent2 2 10" xfId="8786" xr:uid="{DF42DA45-4E01-4830-A6D2-BFAD14D49A8F}"/>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2 2 2" xfId="15565" xr:uid="{9B90F33C-C513-4273-9973-5134CF369922}"/>
    <cellStyle name="40% - Accent2 2 2 2 2 2 3" xfId="11347" xr:uid="{91FA649A-CEF0-43BF-B727-2A72796DEAF4}"/>
    <cellStyle name="40% - Accent2 2 2 2 2 3" xfId="4978" xr:uid="{00000000-0005-0000-0000-000068040000}"/>
    <cellStyle name="40% - Accent2 2 2 2 2 3 2" xfId="13420" xr:uid="{EDBF326D-28AB-410C-89E6-64719A141058}"/>
    <cellStyle name="40% - Accent2 2 2 2 2 4" xfId="9202" xr:uid="{7D5AE852-2571-48D2-BDBF-2F7C07EE631B}"/>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2 2 2" xfId="15978" xr:uid="{9A2C16E9-1DBC-42CC-A252-837A95A85FF0}"/>
    <cellStyle name="40% - Accent2 2 2 2 3 2 3" xfId="11760" xr:uid="{F0AD22B1-F633-43FB-B31C-C3366498CF4E}"/>
    <cellStyle name="40% - Accent2 2 2 2 3 3" xfId="5391" xr:uid="{00000000-0005-0000-0000-00006C040000}"/>
    <cellStyle name="40% - Accent2 2 2 2 3 3 2" xfId="13833" xr:uid="{CB9899CF-A2EE-4BBA-B65D-4CF08743416E}"/>
    <cellStyle name="40% - Accent2 2 2 2 3 4" xfId="9615" xr:uid="{B348B125-5338-4406-8339-A9F25A903968}"/>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2 2 2" xfId="16391" xr:uid="{EE6471FC-AD97-4B2A-BC35-D17FD7410AF9}"/>
    <cellStyle name="40% - Accent2 2 2 2 4 2 3" xfId="12173" xr:uid="{FDF20125-6006-4C48-9373-92BD294F6FC5}"/>
    <cellStyle name="40% - Accent2 2 2 2 4 3" xfId="5804" xr:uid="{00000000-0005-0000-0000-000070040000}"/>
    <cellStyle name="40% - Accent2 2 2 2 4 3 2" xfId="14246" xr:uid="{0182E4A1-7A53-486D-964E-2D022DFAB440}"/>
    <cellStyle name="40% - Accent2 2 2 2 4 4" xfId="10028" xr:uid="{A6EE5EC3-F68B-4ABC-8D85-B6C610D500C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2 2 2" xfId="16804" xr:uid="{C2CE359C-54CC-424A-8DE4-8E5BD6A7A835}"/>
    <cellStyle name="40% - Accent2 2 2 2 5 2 3" xfId="12586" xr:uid="{64AE7229-A686-4B61-9BCD-5DA43BE0D561}"/>
    <cellStyle name="40% - Accent2 2 2 2 5 3" xfId="6217" xr:uid="{00000000-0005-0000-0000-000074040000}"/>
    <cellStyle name="40% - Accent2 2 2 2 5 3 2" xfId="14659" xr:uid="{7CD35949-8C7A-46FB-BFA1-79FBA7A0DF82}"/>
    <cellStyle name="40% - Accent2 2 2 2 5 4" xfId="10441" xr:uid="{ED5E4BC4-D57C-42B4-BEFA-9E35E5312654}"/>
    <cellStyle name="40% - Accent2 2 2 2 6" xfId="2323" xr:uid="{00000000-0005-0000-0000-000075040000}"/>
    <cellStyle name="40% - Accent2 2 2 2 6 2" xfId="6630" xr:uid="{00000000-0005-0000-0000-000076040000}"/>
    <cellStyle name="40% - Accent2 2 2 2 6 2 2" xfId="15072" xr:uid="{09D78633-DBF5-412C-B1F1-BD83202EF601}"/>
    <cellStyle name="40% - Accent2 2 2 2 6 3" xfId="10854" xr:uid="{F1CBAC1D-45C5-4BF2-990B-3D3CBE4FECDB}"/>
    <cellStyle name="40% - Accent2 2 2 2 7" xfId="4564" xr:uid="{00000000-0005-0000-0000-000077040000}"/>
    <cellStyle name="40% - Accent2 2 2 2 7 2" xfId="13006" xr:uid="{2E6328AE-1D13-4C50-8DC4-091DB3582380}"/>
    <cellStyle name="40% - Accent2 2 2 2 8" xfId="8788" xr:uid="{20A4D039-2BDD-49E8-A91E-D371A5DAC480}"/>
    <cellStyle name="40% - Accent2 2 2 3" xfId="628" xr:uid="{00000000-0005-0000-0000-000078040000}"/>
    <cellStyle name="40% - Accent2 2 2 3 2" xfId="2899" xr:uid="{00000000-0005-0000-0000-000079040000}"/>
    <cellStyle name="40% - Accent2 2 2 3 2 2" xfId="7122" xr:uid="{00000000-0005-0000-0000-00007A040000}"/>
    <cellStyle name="40% - Accent2 2 2 3 2 2 2" xfId="15564" xr:uid="{CB5663DD-6E3C-4565-8942-987440B88884}"/>
    <cellStyle name="40% - Accent2 2 2 3 2 3" xfId="11346" xr:uid="{D161647A-4084-4F21-B7D3-EEBC6EF7B7FA}"/>
    <cellStyle name="40% - Accent2 2 2 3 3" xfId="4977" xr:uid="{00000000-0005-0000-0000-00007B040000}"/>
    <cellStyle name="40% - Accent2 2 2 3 3 2" xfId="13419" xr:uid="{AAAF3872-4B51-4487-BEFA-FA537F016FFE}"/>
    <cellStyle name="40% - Accent2 2 2 3 4" xfId="9201" xr:uid="{CD017593-5D76-48F4-A30E-3E88B3806ADD}"/>
    <cellStyle name="40% - Accent2 2 2 4" xfId="1081" xr:uid="{00000000-0005-0000-0000-00007C040000}"/>
    <cellStyle name="40% - Accent2 2 2 4 2" xfId="3312" xr:uid="{00000000-0005-0000-0000-00007D040000}"/>
    <cellStyle name="40% - Accent2 2 2 4 2 2" xfId="7535" xr:uid="{00000000-0005-0000-0000-00007E040000}"/>
    <cellStyle name="40% - Accent2 2 2 4 2 2 2" xfId="15977" xr:uid="{538E7E7C-45FE-4191-BE0F-990C3472DB97}"/>
    <cellStyle name="40% - Accent2 2 2 4 2 3" xfId="11759" xr:uid="{C92D4511-06C7-42AA-934B-AA8869F3A790}"/>
    <cellStyle name="40% - Accent2 2 2 4 3" xfId="5390" xr:uid="{00000000-0005-0000-0000-00007F040000}"/>
    <cellStyle name="40% - Accent2 2 2 4 3 2" xfId="13832" xr:uid="{877B6968-101E-4C5D-AA7F-DCA02423D6BC}"/>
    <cellStyle name="40% - Accent2 2 2 4 4" xfId="9614" xr:uid="{6A8EAFD8-5E51-44CD-81DE-6AB68596E78E}"/>
    <cellStyle name="40% - Accent2 2 2 5" xfId="1495" xr:uid="{00000000-0005-0000-0000-000080040000}"/>
    <cellStyle name="40% - Accent2 2 2 5 2" xfId="3725" xr:uid="{00000000-0005-0000-0000-000081040000}"/>
    <cellStyle name="40% - Accent2 2 2 5 2 2" xfId="7948" xr:uid="{00000000-0005-0000-0000-000082040000}"/>
    <cellStyle name="40% - Accent2 2 2 5 2 2 2" xfId="16390" xr:uid="{B070A4CD-1B20-4646-89C8-06C5E573401F}"/>
    <cellStyle name="40% - Accent2 2 2 5 2 3" xfId="12172" xr:uid="{07FB6051-4CF7-49E6-8735-7193933C3E25}"/>
    <cellStyle name="40% - Accent2 2 2 5 3" xfId="5803" xr:uid="{00000000-0005-0000-0000-000083040000}"/>
    <cellStyle name="40% - Accent2 2 2 5 3 2" xfId="14245" xr:uid="{FDCAD87C-D009-4A1F-A122-E375BE17E8FC}"/>
    <cellStyle name="40% - Accent2 2 2 5 4" xfId="10027" xr:uid="{966CDBD4-CD4D-4132-8061-7778B3F280B7}"/>
    <cellStyle name="40% - Accent2 2 2 6" xfId="1909" xr:uid="{00000000-0005-0000-0000-000084040000}"/>
    <cellStyle name="40% - Accent2 2 2 6 2" xfId="4138" xr:uid="{00000000-0005-0000-0000-000085040000}"/>
    <cellStyle name="40% - Accent2 2 2 6 2 2" xfId="8361" xr:uid="{00000000-0005-0000-0000-000086040000}"/>
    <cellStyle name="40% - Accent2 2 2 6 2 2 2" xfId="16803" xr:uid="{A6559A86-3F85-4B65-895E-36ED9CEA2A06}"/>
    <cellStyle name="40% - Accent2 2 2 6 2 3" xfId="12585" xr:uid="{CF4C3BDA-34AA-4D92-99B0-630FCE985E3D}"/>
    <cellStyle name="40% - Accent2 2 2 6 3" xfId="6216" xr:uid="{00000000-0005-0000-0000-000087040000}"/>
    <cellStyle name="40% - Accent2 2 2 6 3 2" xfId="14658" xr:uid="{FDEE03AC-76B4-47F7-BD18-93448FAA111E}"/>
    <cellStyle name="40% - Accent2 2 2 6 4" xfId="10440" xr:uid="{18FFA84E-ACE2-4BD7-9999-6A08F303F27A}"/>
    <cellStyle name="40% - Accent2 2 2 7" xfId="2322" xr:uid="{00000000-0005-0000-0000-000088040000}"/>
    <cellStyle name="40% - Accent2 2 2 7 2" xfId="6629" xr:uid="{00000000-0005-0000-0000-000089040000}"/>
    <cellStyle name="40% - Accent2 2 2 7 2 2" xfId="15071" xr:uid="{3B052609-7D7A-46C8-8A30-D71C6984A393}"/>
    <cellStyle name="40% - Accent2 2 2 7 3" xfId="10853" xr:uid="{435F7897-0283-4294-8B7D-38E00271363B}"/>
    <cellStyle name="40% - Accent2 2 2 8" xfId="4563" xr:uid="{00000000-0005-0000-0000-00008A040000}"/>
    <cellStyle name="40% - Accent2 2 2 8 2" xfId="13005" xr:uid="{CF2311DE-59EC-440A-937E-0280B1A9B429}"/>
    <cellStyle name="40% - Accent2 2 2 9" xfId="8787" xr:uid="{C7A782EC-099B-4561-BC03-C3962564880E}"/>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2 2 2" xfId="15566" xr:uid="{21ED295C-E6CE-4DDF-BAC2-3E496FF747B5}"/>
    <cellStyle name="40% - Accent2 2 3 2 2 3" xfId="11348" xr:uid="{E366FA6C-6443-43EA-8191-8B06333F8ED6}"/>
    <cellStyle name="40% - Accent2 2 3 2 3" xfId="4979" xr:uid="{00000000-0005-0000-0000-00008F040000}"/>
    <cellStyle name="40% - Accent2 2 3 2 3 2" xfId="13421" xr:uid="{75998A19-DDC2-425F-BEE1-41733E4F8B53}"/>
    <cellStyle name="40% - Accent2 2 3 2 4" xfId="9203" xr:uid="{061EBBA7-B53D-4E7D-81A5-82B4ED1A4B22}"/>
    <cellStyle name="40% - Accent2 2 3 3" xfId="1083" xr:uid="{00000000-0005-0000-0000-000090040000}"/>
    <cellStyle name="40% - Accent2 2 3 3 2" xfId="3314" xr:uid="{00000000-0005-0000-0000-000091040000}"/>
    <cellStyle name="40% - Accent2 2 3 3 2 2" xfId="7537" xr:uid="{00000000-0005-0000-0000-000092040000}"/>
    <cellStyle name="40% - Accent2 2 3 3 2 2 2" xfId="15979" xr:uid="{B2E2BFC0-DBFE-4676-98F6-87F1D69755B1}"/>
    <cellStyle name="40% - Accent2 2 3 3 2 3" xfId="11761" xr:uid="{367F2BF5-85DA-4A5B-B567-39BAC69E4E39}"/>
    <cellStyle name="40% - Accent2 2 3 3 3" xfId="5392" xr:uid="{00000000-0005-0000-0000-000093040000}"/>
    <cellStyle name="40% - Accent2 2 3 3 3 2" xfId="13834" xr:uid="{6FDD126F-8F5A-4B74-8C54-DFD9B6B57BA2}"/>
    <cellStyle name="40% - Accent2 2 3 3 4" xfId="9616" xr:uid="{439ABDF2-06AB-4D64-8A75-632845DB3499}"/>
    <cellStyle name="40% - Accent2 2 3 4" xfId="1497" xr:uid="{00000000-0005-0000-0000-000094040000}"/>
    <cellStyle name="40% - Accent2 2 3 4 2" xfId="3727" xr:uid="{00000000-0005-0000-0000-000095040000}"/>
    <cellStyle name="40% - Accent2 2 3 4 2 2" xfId="7950" xr:uid="{00000000-0005-0000-0000-000096040000}"/>
    <cellStyle name="40% - Accent2 2 3 4 2 2 2" xfId="16392" xr:uid="{4A81B186-9913-41B4-933D-13F3F5AB11A9}"/>
    <cellStyle name="40% - Accent2 2 3 4 2 3" xfId="12174" xr:uid="{6DBE5DB5-5F7D-43CC-8067-92F50AD40578}"/>
    <cellStyle name="40% - Accent2 2 3 4 3" xfId="5805" xr:uid="{00000000-0005-0000-0000-000097040000}"/>
    <cellStyle name="40% - Accent2 2 3 4 3 2" xfId="14247" xr:uid="{87FDF6A9-DC55-442A-B178-F60624A1D250}"/>
    <cellStyle name="40% - Accent2 2 3 4 4" xfId="10029" xr:uid="{8FDE2363-16F5-4742-8BC4-F6AB4B03E4BB}"/>
    <cellStyle name="40% - Accent2 2 3 5" xfId="1911" xr:uid="{00000000-0005-0000-0000-000098040000}"/>
    <cellStyle name="40% - Accent2 2 3 5 2" xfId="4140" xr:uid="{00000000-0005-0000-0000-000099040000}"/>
    <cellStyle name="40% - Accent2 2 3 5 2 2" xfId="8363" xr:uid="{00000000-0005-0000-0000-00009A040000}"/>
    <cellStyle name="40% - Accent2 2 3 5 2 2 2" xfId="16805" xr:uid="{874A4CD5-3D1A-4BA9-AADB-5FAFD952902E}"/>
    <cellStyle name="40% - Accent2 2 3 5 2 3" xfId="12587" xr:uid="{EB8DE287-6F71-4478-9805-660B9EEE5893}"/>
    <cellStyle name="40% - Accent2 2 3 5 3" xfId="6218" xr:uid="{00000000-0005-0000-0000-00009B040000}"/>
    <cellStyle name="40% - Accent2 2 3 5 3 2" xfId="14660" xr:uid="{13B87B1F-7C9C-4972-82E5-E237D91D5B5F}"/>
    <cellStyle name="40% - Accent2 2 3 5 4" xfId="10442" xr:uid="{99AB8123-286F-447B-A082-4CA9A84A8682}"/>
    <cellStyle name="40% - Accent2 2 3 6" xfId="2324" xr:uid="{00000000-0005-0000-0000-00009C040000}"/>
    <cellStyle name="40% - Accent2 2 3 6 2" xfId="6631" xr:uid="{00000000-0005-0000-0000-00009D040000}"/>
    <cellStyle name="40% - Accent2 2 3 6 2 2" xfId="15073" xr:uid="{D792BA89-BC52-461E-B80A-FD99B042F21A}"/>
    <cellStyle name="40% - Accent2 2 3 6 3" xfId="10855" xr:uid="{4FD39D4B-F8B1-4643-8D4C-D552AF1981B0}"/>
    <cellStyle name="40% - Accent2 2 3 7" xfId="4565" xr:uid="{00000000-0005-0000-0000-00009E040000}"/>
    <cellStyle name="40% - Accent2 2 3 7 2" xfId="13007" xr:uid="{361C47DB-F0A5-405D-AF40-B193957D5CD6}"/>
    <cellStyle name="40% - Accent2 2 3 8" xfId="8789" xr:uid="{DF0522E1-B446-4052-B197-6A89FF731897}"/>
    <cellStyle name="40% - Accent2 2 4" xfId="627" xr:uid="{00000000-0005-0000-0000-00009F040000}"/>
    <cellStyle name="40% - Accent2 2 4 2" xfId="2898" xr:uid="{00000000-0005-0000-0000-0000A0040000}"/>
    <cellStyle name="40% - Accent2 2 4 2 2" xfId="7121" xr:uid="{00000000-0005-0000-0000-0000A1040000}"/>
    <cellStyle name="40% - Accent2 2 4 2 2 2" xfId="15563" xr:uid="{E36E8566-F56C-4F72-AD12-CBF3FBB1BCD0}"/>
    <cellStyle name="40% - Accent2 2 4 2 3" xfId="11345" xr:uid="{AD777DA8-97D8-49E4-8A0F-1D300171D527}"/>
    <cellStyle name="40% - Accent2 2 4 3" xfId="4976" xr:uid="{00000000-0005-0000-0000-0000A2040000}"/>
    <cellStyle name="40% - Accent2 2 4 3 2" xfId="13418" xr:uid="{8626E19A-FFB6-4989-BFB9-DF9074AE825A}"/>
    <cellStyle name="40% - Accent2 2 4 4" xfId="9200" xr:uid="{FF117F63-FF7D-4972-82AE-D5025EF52EAA}"/>
    <cellStyle name="40% - Accent2 2 5" xfId="1080" xr:uid="{00000000-0005-0000-0000-0000A3040000}"/>
    <cellStyle name="40% - Accent2 2 5 2" xfId="3311" xr:uid="{00000000-0005-0000-0000-0000A4040000}"/>
    <cellStyle name="40% - Accent2 2 5 2 2" xfId="7534" xr:uid="{00000000-0005-0000-0000-0000A5040000}"/>
    <cellStyle name="40% - Accent2 2 5 2 2 2" xfId="15976" xr:uid="{7CC72942-2808-4AAC-8F68-B236E8DE578E}"/>
    <cellStyle name="40% - Accent2 2 5 2 3" xfId="11758" xr:uid="{5A43E17A-40F1-4E96-8E0F-D7A1F8DEFC28}"/>
    <cellStyle name="40% - Accent2 2 5 3" xfId="5389" xr:uid="{00000000-0005-0000-0000-0000A6040000}"/>
    <cellStyle name="40% - Accent2 2 5 3 2" xfId="13831" xr:uid="{80312C71-6966-4564-B226-D7A2543A56D4}"/>
    <cellStyle name="40% - Accent2 2 5 4" xfId="9613" xr:uid="{D9FE5FFF-0724-4E61-97DA-7B23320DE28C}"/>
    <cellStyle name="40% - Accent2 2 6" xfId="1494" xr:uid="{00000000-0005-0000-0000-0000A7040000}"/>
    <cellStyle name="40% - Accent2 2 6 2" xfId="3724" xr:uid="{00000000-0005-0000-0000-0000A8040000}"/>
    <cellStyle name="40% - Accent2 2 6 2 2" xfId="7947" xr:uid="{00000000-0005-0000-0000-0000A9040000}"/>
    <cellStyle name="40% - Accent2 2 6 2 2 2" xfId="16389" xr:uid="{73CFC743-03F4-4443-BE14-5D7878272212}"/>
    <cellStyle name="40% - Accent2 2 6 2 3" xfId="12171" xr:uid="{864D81DC-AE38-4D94-96C3-6B31EE0151EC}"/>
    <cellStyle name="40% - Accent2 2 6 3" xfId="5802" xr:uid="{00000000-0005-0000-0000-0000AA040000}"/>
    <cellStyle name="40% - Accent2 2 6 3 2" xfId="14244" xr:uid="{15902D92-D587-4C21-914F-37C9867B0642}"/>
    <cellStyle name="40% - Accent2 2 6 4" xfId="10026" xr:uid="{A484D2CA-7698-47B9-BB98-DCE91A3D76B4}"/>
    <cellStyle name="40% - Accent2 2 7" xfId="1908" xr:uid="{00000000-0005-0000-0000-0000AB040000}"/>
    <cellStyle name="40% - Accent2 2 7 2" xfId="4137" xr:uid="{00000000-0005-0000-0000-0000AC040000}"/>
    <cellStyle name="40% - Accent2 2 7 2 2" xfId="8360" xr:uid="{00000000-0005-0000-0000-0000AD040000}"/>
    <cellStyle name="40% - Accent2 2 7 2 2 2" xfId="16802" xr:uid="{B1044609-49A7-4B26-8C18-1B7B490C4B76}"/>
    <cellStyle name="40% - Accent2 2 7 2 3" xfId="12584" xr:uid="{6E48CEA6-BF39-4851-9547-51FE3CF0084A}"/>
    <cellStyle name="40% - Accent2 2 7 3" xfId="6215" xr:uid="{00000000-0005-0000-0000-0000AE040000}"/>
    <cellStyle name="40% - Accent2 2 7 3 2" xfId="14657" xr:uid="{71024C7D-D90B-4600-8558-3A7F7A19D937}"/>
    <cellStyle name="40% - Accent2 2 7 4" xfId="10439" xr:uid="{2404FAA0-B7BB-42A3-88DD-3C60285ECD21}"/>
    <cellStyle name="40% - Accent2 2 8" xfId="2321" xr:uid="{00000000-0005-0000-0000-0000AF040000}"/>
    <cellStyle name="40% - Accent2 2 8 2" xfId="6628" xr:uid="{00000000-0005-0000-0000-0000B0040000}"/>
    <cellStyle name="40% - Accent2 2 8 2 2" xfId="15070" xr:uid="{F6EB794B-865F-45EA-BF66-A7F2221BF261}"/>
    <cellStyle name="40% - Accent2 2 8 3" xfId="10852" xr:uid="{9B0DE1AF-6543-4888-BB8D-30384786DDB4}"/>
    <cellStyle name="40% - Accent2 2 9" xfId="4562" xr:uid="{00000000-0005-0000-0000-0000B1040000}"/>
    <cellStyle name="40% - Accent2 2 9 2" xfId="13004" xr:uid="{926590FE-83DD-47D7-99DC-915A86632025}"/>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2 2 2" xfId="15568" xr:uid="{32E5C95F-5CDC-46F7-9F93-5C0B3AEF93E1}"/>
    <cellStyle name="40% - Accent2 3 2 2 2 3" xfId="11350" xr:uid="{710CA53E-D61F-48C0-B67D-000DF1B7B198}"/>
    <cellStyle name="40% - Accent2 3 2 2 3" xfId="4981" xr:uid="{00000000-0005-0000-0000-0000B7040000}"/>
    <cellStyle name="40% - Accent2 3 2 2 3 2" xfId="13423" xr:uid="{FF5E4F5B-ECCB-49E5-AF80-EDD29EF49827}"/>
    <cellStyle name="40% - Accent2 3 2 2 4" xfId="9205" xr:uid="{E8ACEFA7-3DE8-4294-95E1-B6D49796957E}"/>
    <cellStyle name="40% - Accent2 3 2 3" xfId="1085" xr:uid="{00000000-0005-0000-0000-0000B8040000}"/>
    <cellStyle name="40% - Accent2 3 2 3 2" xfId="3316" xr:uid="{00000000-0005-0000-0000-0000B9040000}"/>
    <cellStyle name="40% - Accent2 3 2 3 2 2" xfId="7539" xr:uid="{00000000-0005-0000-0000-0000BA040000}"/>
    <cellStyle name="40% - Accent2 3 2 3 2 2 2" xfId="15981" xr:uid="{FB91FCE4-579C-4DE3-9920-DD9B5987B922}"/>
    <cellStyle name="40% - Accent2 3 2 3 2 3" xfId="11763" xr:uid="{AB2A3324-4033-4D62-987C-F29D5D0EE11C}"/>
    <cellStyle name="40% - Accent2 3 2 3 3" xfId="5394" xr:uid="{00000000-0005-0000-0000-0000BB040000}"/>
    <cellStyle name="40% - Accent2 3 2 3 3 2" xfId="13836" xr:uid="{039B6525-56C3-4C21-B66F-C4178221E8C5}"/>
    <cellStyle name="40% - Accent2 3 2 3 4" xfId="9618" xr:uid="{2A02C614-3488-49CC-A87E-E93D627591AA}"/>
    <cellStyle name="40% - Accent2 3 2 4" xfId="1499" xr:uid="{00000000-0005-0000-0000-0000BC040000}"/>
    <cellStyle name="40% - Accent2 3 2 4 2" xfId="3729" xr:uid="{00000000-0005-0000-0000-0000BD040000}"/>
    <cellStyle name="40% - Accent2 3 2 4 2 2" xfId="7952" xr:uid="{00000000-0005-0000-0000-0000BE040000}"/>
    <cellStyle name="40% - Accent2 3 2 4 2 2 2" xfId="16394" xr:uid="{09ABBE49-5BFB-44C6-B818-15B5C1155CC0}"/>
    <cellStyle name="40% - Accent2 3 2 4 2 3" xfId="12176" xr:uid="{1450E124-2C69-4751-864A-7F6912DA061D}"/>
    <cellStyle name="40% - Accent2 3 2 4 3" xfId="5807" xr:uid="{00000000-0005-0000-0000-0000BF040000}"/>
    <cellStyle name="40% - Accent2 3 2 4 3 2" xfId="14249" xr:uid="{2660E045-C835-4CC9-9893-576E9797EAF0}"/>
    <cellStyle name="40% - Accent2 3 2 4 4" xfId="10031" xr:uid="{6C718DBD-8C2E-498E-A2E2-3E94BBD5F26F}"/>
    <cellStyle name="40% - Accent2 3 2 5" xfId="1913" xr:uid="{00000000-0005-0000-0000-0000C0040000}"/>
    <cellStyle name="40% - Accent2 3 2 5 2" xfId="4142" xr:uid="{00000000-0005-0000-0000-0000C1040000}"/>
    <cellStyle name="40% - Accent2 3 2 5 2 2" xfId="8365" xr:uid="{00000000-0005-0000-0000-0000C2040000}"/>
    <cellStyle name="40% - Accent2 3 2 5 2 2 2" xfId="16807" xr:uid="{38B193E3-909D-4EB0-9151-E4B34DE046E5}"/>
    <cellStyle name="40% - Accent2 3 2 5 2 3" xfId="12589" xr:uid="{97426145-1E57-4CDC-8009-E24EF3C2FC2B}"/>
    <cellStyle name="40% - Accent2 3 2 5 3" xfId="6220" xr:uid="{00000000-0005-0000-0000-0000C3040000}"/>
    <cellStyle name="40% - Accent2 3 2 5 3 2" xfId="14662" xr:uid="{75630EAF-F3AA-4B5A-9AB1-72B039923ACB}"/>
    <cellStyle name="40% - Accent2 3 2 5 4" xfId="10444" xr:uid="{7276A27F-384C-4B0F-A5CD-491F32546BC3}"/>
    <cellStyle name="40% - Accent2 3 2 6" xfId="2326" xr:uid="{00000000-0005-0000-0000-0000C4040000}"/>
    <cellStyle name="40% - Accent2 3 2 6 2" xfId="6633" xr:uid="{00000000-0005-0000-0000-0000C5040000}"/>
    <cellStyle name="40% - Accent2 3 2 6 2 2" xfId="15075" xr:uid="{3582D4C1-6147-4A72-B083-28E6DDB11646}"/>
    <cellStyle name="40% - Accent2 3 2 6 3" xfId="10857" xr:uid="{F2B2624D-DD25-4B5D-8F21-5747647D5873}"/>
    <cellStyle name="40% - Accent2 3 2 7" xfId="4567" xr:uid="{00000000-0005-0000-0000-0000C6040000}"/>
    <cellStyle name="40% - Accent2 3 2 7 2" xfId="13009" xr:uid="{92F1FE0E-2D7E-4D04-9E2F-53841E217165}"/>
    <cellStyle name="40% - Accent2 3 2 8" xfId="8791" xr:uid="{53CC5B77-154A-4345-AFFD-3A45E100E804}"/>
    <cellStyle name="40% - Accent2 3 3" xfId="631" xr:uid="{00000000-0005-0000-0000-0000C7040000}"/>
    <cellStyle name="40% - Accent2 3 3 2" xfId="2902" xr:uid="{00000000-0005-0000-0000-0000C8040000}"/>
    <cellStyle name="40% - Accent2 3 3 2 2" xfId="7125" xr:uid="{00000000-0005-0000-0000-0000C9040000}"/>
    <cellStyle name="40% - Accent2 3 3 2 2 2" xfId="15567" xr:uid="{897112EE-B6BA-45A2-AEDC-3533BFEC1620}"/>
    <cellStyle name="40% - Accent2 3 3 2 3" xfId="11349" xr:uid="{3A646724-D80E-42A7-AC62-EE1C21A4D1A7}"/>
    <cellStyle name="40% - Accent2 3 3 3" xfId="4980" xr:uid="{00000000-0005-0000-0000-0000CA040000}"/>
    <cellStyle name="40% - Accent2 3 3 3 2" xfId="13422" xr:uid="{CCE8EB5E-5C34-4793-870C-8F60CBC42F04}"/>
    <cellStyle name="40% - Accent2 3 3 4" xfId="9204" xr:uid="{AAF7B9AC-BFCB-4FB5-B99E-684C3F62B73B}"/>
    <cellStyle name="40% - Accent2 3 4" xfId="1084" xr:uid="{00000000-0005-0000-0000-0000CB040000}"/>
    <cellStyle name="40% - Accent2 3 4 2" xfId="3315" xr:uid="{00000000-0005-0000-0000-0000CC040000}"/>
    <cellStyle name="40% - Accent2 3 4 2 2" xfId="7538" xr:uid="{00000000-0005-0000-0000-0000CD040000}"/>
    <cellStyle name="40% - Accent2 3 4 2 2 2" xfId="15980" xr:uid="{1A75E020-2100-475F-BA89-7B431C27C366}"/>
    <cellStyle name="40% - Accent2 3 4 2 3" xfId="11762" xr:uid="{6A34BA63-17E2-4567-839D-ECF045D4B55B}"/>
    <cellStyle name="40% - Accent2 3 4 3" xfId="5393" xr:uid="{00000000-0005-0000-0000-0000CE040000}"/>
    <cellStyle name="40% - Accent2 3 4 3 2" xfId="13835" xr:uid="{E91C1441-1119-4161-8B60-13FC4360690E}"/>
    <cellStyle name="40% - Accent2 3 4 4" xfId="9617" xr:uid="{94370EB1-6747-4928-B26D-6B2F8E559E43}"/>
    <cellStyle name="40% - Accent2 3 5" xfId="1498" xr:uid="{00000000-0005-0000-0000-0000CF040000}"/>
    <cellStyle name="40% - Accent2 3 5 2" xfId="3728" xr:uid="{00000000-0005-0000-0000-0000D0040000}"/>
    <cellStyle name="40% - Accent2 3 5 2 2" xfId="7951" xr:uid="{00000000-0005-0000-0000-0000D1040000}"/>
    <cellStyle name="40% - Accent2 3 5 2 2 2" xfId="16393" xr:uid="{A5D59403-6FA2-4E6D-9E02-E8E1DC73DA67}"/>
    <cellStyle name="40% - Accent2 3 5 2 3" xfId="12175" xr:uid="{926DDF35-214A-4629-937B-66C1EBC17E87}"/>
    <cellStyle name="40% - Accent2 3 5 3" xfId="5806" xr:uid="{00000000-0005-0000-0000-0000D2040000}"/>
    <cellStyle name="40% - Accent2 3 5 3 2" xfId="14248" xr:uid="{29E7E242-2922-4233-B7E8-8A2D23F98DEE}"/>
    <cellStyle name="40% - Accent2 3 5 4" xfId="10030" xr:uid="{4F665B29-64C7-44C4-8CDE-33AC8B6B38C9}"/>
    <cellStyle name="40% - Accent2 3 6" xfId="1912" xr:uid="{00000000-0005-0000-0000-0000D3040000}"/>
    <cellStyle name="40% - Accent2 3 6 2" xfId="4141" xr:uid="{00000000-0005-0000-0000-0000D4040000}"/>
    <cellStyle name="40% - Accent2 3 6 2 2" xfId="8364" xr:uid="{00000000-0005-0000-0000-0000D5040000}"/>
    <cellStyle name="40% - Accent2 3 6 2 2 2" xfId="16806" xr:uid="{F1EEF880-F481-49C9-B1CD-7CFFDF8C540E}"/>
    <cellStyle name="40% - Accent2 3 6 2 3" xfId="12588" xr:uid="{7C04D5A9-21B2-482A-9A03-98AA52583D7B}"/>
    <cellStyle name="40% - Accent2 3 6 3" xfId="6219" xr:uid="{00000000-0005-0000-0000-0000D6040000}"/>
    <cellStyle name="40% - Accent2 3 6 3 2" xfId="14661" xr:uid="{552DEAF3-1B34-4126-AA13-7D979F402E07}"/>
    <cellStyle name="40% - Accent2 3 6 4" xfId="10443" xr:uid="{26B36A84-52C4-402D-A6C9-A928ACE3ED9A}"/>
    <cellStyle name="40% - Accent2 3 7" xfId="2325" xr:uid="{00000000-0005-0000-0000-0000D7040000}"/>
    <cellStyle name="40% - Accent2 3 7 2" xfId="6632" xr:uid="{00000000-0005-0000-0000-0000D8040000}"/>
    <cellStyle name="40% - Accent2 3 7 2 2" xfId="15074" xr:uid="{CEC9588C-6A50-454E-B376-EEFDCFC7F951}"/>
    <cellStyle name="40% - Accent2 3 7 3" xfId="10856" xr:uid="{CF0FBC6F-E2DA-462E-B4AE-81E1B054B014}"/>
    <cellStyle name="40% - Accent2 3 8" xfId="4566" xr:uid="{00000000-0005-0000-0000-0000D9040000}"/>
    <cellStyle name="40% - Accent2 3 8 2" xfId="13008" xr:uid="{D75D917D-4A23-43EF-850B-C0908C4F6B8D}"/>
    <cellStyle name="40% - Accent2 3 9" xfId="8790" xr:uid="{8B8B7A65-234C-404C-BB84-A87961A0C8CF}"/>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2 2 2" xfId="15569" xr:uid="{477A0E05-A7BA-4C73-87B9-783EB7BB6CBF}"/>
    <cellStyle name="40% - Accent2 4 2 2 3" xfId="11351" xr:uid="{E241CEEC-9F06-4A95-8AC6-3CF6E031C334}"/>
    <cellStyle name="40% - Accent2 4 2 3" xfId="4982" xr:uid="{00000000-0005-0000-0000-0000DE040000}"/>
    <cellStyle name="40% - Accent2 4 2 3 2" xfId="13424" xr:uid="{D9339085-1CC2-4A7F-A168-CE83F138681F}"/>
    <cellStyle name="40% - Accent2 4 2 4" xfId="9206" xr:uid="{DCF3ECAC-F2B4-4520-A75E-069E6C5C50A3}"/>
    <cellStyle name="40% - Accent2 4 3" xfId="1086" xr:uid="{00000000-0005-0000-0000-0000DF040000}"/>
    <cellStyle name="40% - Accent2 4 3 2" xfId="3317" xr:uid="{00000000-0005-0000-0000-0000E0040000}"/>
    <cellStyle name="40% - Accent2 4 3 2 2" xfId="7540" xr:uid="{00000000-0005-0000-0000-0000E1040000}"/>
    <cellStyle name="40% - Accent2 4 3 2 2 2" xfId="15982" xr:uid="{165021CF-ED42-4170-9A5F-63CD05AE0D4D}"/>
    <cellStyle name="40% - Accent2 4 3 2 3" xfId="11764" xr:uid="{C9BC5B19-C06E-4CA6-B376-1C1A5828258C}"/>
    <cellStyle name="40% - Accent2 4 3 3" xfId="5395" xr:uid="{00000000-0005-0000-0000-0000E2040000}"/>
    <cellStyle name="40% - Accent2 4 3 3 2" xfId="13837" xr:uid="{E3BA18A1-B6D5-4BAD-8100-9477A32B1CE6}"/>
    <cellStyle name="40% - Accent2 4 3 4" xfId="9619" xr:uid="{9E8C6B58-9A4A-4ACF-B144-9EB7A7F8EB9D}"/>
    <cellStyle name="40% - Accent2 4 4" xfId="1500" xr:uid="{00000000-0005-0000-0000-0000E3040000}"/>
    <cellStyle name="40% - Accent2 4 4 2" xfId="3730" xr:uid="{00000000-0005-0000-0000-0000E4040000}"/>
    <cellStyle name="40% - Accent2 4 4 2 2" xfId="7953" xr:uid="{00000000-0005-0000-0000-0000E5040000}"/>
    <cellStyle name="40% - Accent2 4 4 2 2 2" xfId="16395" xr:uid="{FF3D26FC-66F1-45AF-BDCC-A603B292AECA}"/>
    <cellStyle name="40% - Accent2 4 4 2 3" xfId="12177" xr:uid="{A82F1C8C-B0F2-497F-A726-925E7063F095}"/>
    <cellStyle name="40% - Accent2 4 4 3" xfId="5808" xr:uid="{00000000-0005-0000-0000-0000E6040000}"/>
    <cellStyle name="40% - Accent2 4 4 3 2" xfId="14250" xr:uid="{A34B01D2-EE94-439A-BA38-615837C26F25}"/>
    <cellStyle name="40% - Accent2 4 4 4" xfId="10032" xr:uid="{E7F7805B-E79B-487C-9B92-827CFDA87207}"/>
    <cellStyle name="40% - Accent2 4 5" xfId="1914" xr:uid="{00000000-0005-0000-0000-0000E7040000}"/>
    <cellStyle name="40% - Accent2 4 5 2" xfId="4143" xr:uid="{00000000-0005-0000-0000-0000E8040000}"/>
    <cellStyle name="40% - Accent2 4 5 2 2" xfId="8366" xr:uid="{00000000-0005-0000-0000-0000E9040000}"/>
    <cellStyle name="40% - Accent2 4 5 2 2 2" xfId="16808" xr:uid="{5E160147-7C09-41FF-8706-B75011638DE2}"/>
    <cellStyle name="40% - Accent2 4 5 2 3" xfId="12590" xr:uid="{97823F8B-A5FB-4071-A6AD-6FDA8841E1B5}"/>
    <cellStyle name="40% - Accent2 4 5 3" xfId="6221" xr:uid="{00000000-0005-0000-0000-0000EA040000}"/>
    <cellStyle name="40% - Accent2 4 5 3 2" xfId="14663" xr:uid="{5F165FC8-7AF6-4A06-8917-A7747FBCAD96}"/>
    <cellStyle name="40% - Accent2 4 5 4" xfId="10445" xr:uid="{B0116687-629B-4B35-B469-CDCFD934F8C1}"/>
    <cellStyle name="40% - Accent2 4 6" xfId="2327" xr:uid="{00000000-0005-0000-0000-0000EB040000}"/>
    <cellStyle name="40% - Accent2 4 6 2" xfId="6634" xr:uid="{00000000-0005-0000-0000-0000EC040000}"/>
    <cellStyle name="40% - Accent2 4 6 2 2" xfId="15076" xr:uid="{809C2258-14F8-4D12-9B5C-E53ACDC6D924}"/>
    <cellStyle name="40% - Accent2 4 6 3" xfId="10858" xr:uid="{ACC57DC4-BF5B-462A-AA6F-AA6E2A78CDD5}"/>
    <cellStyle name="40% - Accent2 4 7" xfId="4568" xr:uid="{00000000-0005-0000-0000-0000ED040000}"/>
    <cellStyle name="40% - Accent2 4 7 2" xfId="13010" xr:uid="{ED3293F7-79ED-47BC-AEB7-194C01561C30}"/>
    <cellStyle name="40% - Accent2 4 8" xfId="8792" xr:uid="{24BBF138-B25A-472B-990C-5BBE5BD08D5C}"/>
    <cellStyle name="40% - Accent2 5" xfId="626" xr:uid="{00000000-0005-0000-0000-0000EE040000}"/>
    <cellStyle name="40% - Accent2 5 2" xfId="2897" xr:uid="{00000000-0005-0000-0000-0000EF040000}"/>
    <cellStyle name="40% - Accent2 5 2 2" xfId="7120" xr:uid="{00000000-0005-0000-0000-0000F0040000}"/>
    <cellStyle name="40% - Accent2 5 2 2 2" xfId="15562" xr:uid="{8727BC2D-65AD-441C-A629-7FCEE8094561}"/>
    <cellStyle name="40% - Accent2 5 2 3" xfId="11344" xr:uid="{9864F2AF-C8E0-4ACD-9D83-2B5B736FE62C}"/>
    <cellStyle name="40% - Accent2 5 3" xfId="4975" xr:uid="{00000000-0005-0000-0000-0000F1040000}"/>
    <cellStyle name="40% - Accent2 5 3 2" xfId="13417" xr:uid="{7F9CF2E6-C276-4ABA-9622-533A64DAAFA6}"/>
    <cellStyle name="40% - Accent2 5 4" xfId="9199" xr:uid="{D965EB0F-EB2F-4D42-8C2F-EB967D3E7023}"/>
    <cellStyle name="40% - Accent2 6" xfId="1079" xr:uid="{00000000-0005-0000-0000-0000F2040000}"/>
    <cellStyle name="40% - Accent2 6 2" xfId="3310" xr:uid="{00000000-0005-0000-0000-0000F3040000}"/>
    <cellStyle name="40% - Accent2 6 2 2" xfId="7533" xr:uid="{00000000-0005-0000-0000-0000F4040000}"/>
    <cellStyle name="40% - Accent2 6 2 2 2" xfId="15975" xr:uid="{4B9617E1-6FFD-4E0F-9E41-D8B10B77445F}"/>
    <cellStyle name="40% - Accent2 6 2 3" xfId="11757" xr:uid="{6146373C-8AC7-40FC-819C-9A29C62CA8D0}"/>
    <cellStyle name="40% - Accent2 6 3" xfId="5388" xr:uid="{00000000-0005-0000-0000-0000F5040000}"/>
    <cellStyle name="40% - Accent2 6 3 2" xfId="13830" xr:uid="{BBED88F9-EACE-45D8-BC74-1CA4838C06C7}"/>
    <cellStyle name="40% - Accent2 6 4" xfId="9612" xr:uid="{E00F7382-3AA6-4352-9B73-39A315382BDF}"/>
    <cellStyle name="40% - Accent2 7" xfId="1493" xr:uid="{00000000-0005-0000-0000-0000F6040000}"/>
    <cellStyle name="40% - Accent2 7 2" xfId="3723" xr:uid="{00000000-0005-0000-0000-0000F7040000}"/>
    <cellStyle name="40% - Accent2 7 2 2" xfId="7946" xr:uid="{00000000-0005-0000-0000-0000F8040000}"/>
    <cellStyle name="40% - Accent2 7 2 2 2" xfId="16388" xr:uid="{61806F75-B006-4853-AC33-72FF1E3F08AB}"/>
    <cellStyle name="40% - Accent2 7 2 3" xfId="12170" xr:uid="{79AC65CD-2D0D-4F95-B7C1-8D3D1115E97C}"/>
    <cellStyle name="40% - Accent2 7 3" xfId="5801" xr:uid="{00000000-0005-0000-0000-0000F9040000}"/>
    <cellStyle name="40% - Accent2 7 3 2" xfId="14243" xr:uid="{67203318-7517-4291-9FEF-C26834F0302F}"/>
    <cellStyle name="40% - Accent2 7 4" xfId="10025" xr:uid="{D7A1AAC5-C1D2-468B-A71B-0C70CBFFFB33}"/>
    <cellStyle name="40% - Accent2 8" xfId="1907" xr:uid="{00000000-0005-0000-0000-0000FA040000}"/>
    <cellStyle name="40% - Accent2 8 2" xfId="4136" xr:uid="{00000000-0005-0000-0000-0000FB040000}"/>
    <cellStyle name="40% - Accent2 8 2 2" xfId="8359" xr:uid="{00000000-0005-0000-0000-0000FC040000}"/>
    <cellStyle name="40% - Accent2 8 2 2 2" xfId="16801" xr:uid="{CC691BFF-1314-4DA2-AAF3-8C8FB852F34D}"/>
    <cellStyle name="40% - Accent2 8 2 3" xfId="12583" xr:uid="{B04341DA-C73D-475D-BC1A-33A4028265ED}"/>
    <cellStyle name="40% - Accent2 8 3" xfId="6214" xr:uid="{00000000-0005-0000-0000-0000FD040000}"/>
    <cellStyle name="40% - Accent2 8 3 2" xfId="14656" xr:uid="{6A53372C-CC5D-41DB-89BC-E2B061B1876B}"/>
    <cellStyle name="40% - Accent2 8 4" xfId="10438" xr:uid="{A188E431-E3B5-4CA1-ADFE-718102AA1F79}"/>
    <cellStyle name="40% - Accent2 9" xfId="2320" xr:uid="{00000000-0005-0000-0000-0000FE040000}"/>
    <cellStyle name="40% - Accent2 9 2" xfId="6627" xr:uid="{00000000-0005-0000-0000-0000FF040000}"/>
    <cellStyle name="40% - Accent2 9 2 2" xfId="15069" xr:uid="{841D660E-E7EC-443F-8769-6F1BF2D33F76}"/>
    <cellStyle name="40% - Accent2 9 3" xfId="10851" xr:uid="{7518039F-08A4-4A4F-8239-B23C179D2C49}"/>
    <cellStyle name="40% - Accent3" xfId="65" builtinId="39" customBuiltin="1"/>
    <cellStyle name="40% - Accent3 10" xfId="4569" xr:uid="{00000000-0005-0000-0000-000001050000}"/>
    <cellStyle name="40% - Accent3 10 2" xfId="13011" xr:uid="{C69F799C-5CEC-4066-87BD-24FF86007A4B}"/>
    <cellStyle name="40% - Accent3 11" xfId="8793" xr:uid="{18ACCDD0-7B17-4A24-88DF-F6DDBC133594}"/>
    <cellStyle name="40% - Accent3 2" xfId="66" xr:uid="{00000000-0005-0000-0000-000002050000}"/>
    <cellStyle name="40% - Accent3 2 10" xfId="8794" xr:uid="{ADFD67A4-308D-49DF-8CEF-3809EE1477F8}"/>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2 2 2" xfId="15573" xr:uid="{25F3CDFC-C9DE-4AFA-91A9-134BD359195D}"/>
    <cellStyle name="40% - Accent3 2 2 2 2 2 3" xfId="11355" xr:uid="{622EAB22-80EF-4D14-9DA6-F009629D67F5}"/>
    <cellStyle name="40% - Accent3 2 2 2 2 3" xfId="4986" xr:uid="{00000000-0005-0000-0000-000008050000}"/>
    <cellStyle name="40% - Accent3 2 2 2 2 3 2" xfId="13428" xr:uid="{CB103E27-9ED3-472E-B8A5-F3A9763446EC}"/>
    <cellStyle name="40% - Accent3 2 2 2 2 4" xfId="9210" xr:uid="{3A5F7A32-C9AB-4A24-8C13-F1D55D8D7A32}"/>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2 2 2" xfId="15986" xr:uid="{DD6EA059-DE08-4423-9140-93BC61D30C13}"/>
    <cellStyle name="40% - Accent3 2 2 2 3 2 3" xfId="11768" xr:uid="{4523A6BE-3D63-4E08-9EF8-766CCB51D8BE}"/>
    <cellStyle name="40% - Accent3 2 2 2 3 3" xfId="5399" xr:uid="{00000000-0005-0000-0000-00000C050000}"/>
    <cellStyle name="40% - Accent3 2 2 2 3 3 2" xfId="13841" xr:uid="{E46C7B77-5FE0-423E-BB84-71DD7C3E936B}"/>
    <cellStyle name="40% - Accent3 2 2 2 3 4" xfId="9623" xr:uid="{4071215E-98F7-48C9-8677-66511907651F}"/>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2 2 2" xfId="16399" xr:uid="{BCF4BE16-99E1-4242-AB98-B1ADE3F0CA08}"/>
    <cellStyle name="40% - Accent3 2 2 2 4 2 3" xfId="12181" xr:uid="{E9760B4B-D00C-4D2C-ACB0-CE555DED9EAF}"/>
    <cellStyle name="40% - Accent3 2 2 2 4 3" xfId="5812" xr:uid="{00000000-0005-0000-0000-000010050000}"/>
    <cellStyle name="40% - Accent3 2 2 2 4 3 2" xfId="14254" xr:uid="{3CF6224C-AD4F-4949-8097-1EF83A890A94}"/>
    <cellStyle name="40% - Accent3 2 2 2 4 4" xfId="10036" xr:uid="{E2D2F997-CA0D-429F-B890-119EE31C57AF}"/>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2 2 2" xfId="16812" xr:uid="{EB687545-D561-4C2E-AF2B-90EDE9DD37EC}"/>
    <cellStyle name="40% - Accent3 2 2 2 5 2 3" xfId="12594" xr:uid="{B619F1F6-DBE7-4BD2-861A-F7AF5A442A3C}"/>
    <cellStyle name="40% - Accent3 2 2 2 5 3" xfId="6225" xr:uid="{00000000-0005-0000-0000-000014050000}"/>
    <cellStyle name="40% - Accent3 2 2 2 5 3 2" xfId="14667" xr:uid="{2BC96501-CA79-4FA6-B03A-C2FB0EA5E4AA}"/>
    <cellStyle name="40% - Accent3 2 2 2 5 4" xfId="10449" xr:uid="{E54F6384-724A-43E9-9FF6-3753FF4B6946}"/>
    <cellStyle name="40% - Accent3 2 2 2 6" xfId="2331" xr:uid="{00000000-0005-0000-0000-000015050000}"/>
    <cellStyle name="40% - Accent3 2 2 2 6 2" xfId="6638" xr:uid="{00000000-0005-0000-0000-000016050000}"/>
    <cellStyle name="40% - Accent3 2 2 2 6 2 2" xfId="15080" xr:uid="{DC22394A-0CF1-4673-8761-1C1B183FF7B0}"/>
    <cellStyle name="40% - Accent3 2 2 2 6 3" xfId="10862" xr:uid="{9F78202D-D565-4F6F-97C0-0213E3F13504}"/>
    <cellStyle name="40% - Accent3 2 2 2 7" xfId="4572" xr:uid="{00000000-0005-0000-0000-000017050000}"/>
    <cellStyle name="40% - Accent3 2 2 2 7 2" xfId="13014" xr:uid="{AF6404EA-55F8-4479-A74B-250EDD487BED}"/>
    <cellStyle name="40% - Accent3 2 2 2 8" xfId="8796" xr:uid="{6D42D828-478A-4ECF-910E-F03077F49C0D}"/>
    <cellStyle name="40% - Accent3 2 2 3" xfId="636" xr:uid="{00000000-0005-0000-0000-000018050000}"/>
    <cellStyle name="40% - Accent3 2 2 3 2" xfId="2907" xr:uid="{00000000-0005-0000-0000-000019050000}"/>
    <cellStyle name="40% - Accent3 2 2 3 2 2" xfId="7130" xr:uid="{00000000-0005-0000-0000-00001A050000}"/>
    <cellStyle name="40% - Accent3 2 2 3 2 2 2" xfId="15572" xr:uid="{C8319A3C-6971-4FC8-83EA-AAAA3E502D79}"/>
    <cellStyle name="40% - Accent3 2 2 3 2 3" xfId="11354" xr:uid="{93AFAB4F-F25B-488A-AFE5-A7072AD28BAB}"/>
    <cellStyle name="40% - Accent3 2 2 3 3" xfId="4985" xr:uid="{00000000-0005-0000-0000-00001B050000}"/>
    <cellStyle name="40% - Accent3 2 2 3 3 2" xfId="13427" xr:uid="{1E64E705-7D75-47ED-AAD0-40DD49CB57F2}"/>
    <cellStyle name="40% - Accent3 2 2 3 4" xfId="9209" xr:uid="{E52C60B1-2FAE-41F6-BB28-F59B504A45D1}"/>
    <cellStyle name="40% - Accent3 2 2 4" xfId="1089" xr:uid="{00000000-0005-0000-0000-00001C050000}"/>
    <cellStyle name="40% - Accent3 2 2 4 2" xfId="3320" xr:uid="{00000000-0005-0000-0000-00001D050000}"/>
    <cellStyle name="40% - Accent3 2 2 4 2 2" xfId="7543" xr:uid="{00000000-0005-0000-0000-00001E050000}"/>
    <cellStyle name="40% - Accent3 2 2 4 2 2 2" xfId="15985" xr:uid="{1B5062B9-69BE-47DA-80B5-B296ADA42CB7}"/>
    <cellStyle name="40% - Accent3 2 2 4 2 3" xfId="11767" xr:uid="{F5256402-8202-4CE6-9E0F-A6E62DDDED06}"/>
    <cellStyle name="40% - Accent3 2 2 4 3" xfId="5398" xr:uid="{00000000-0005-0000-0000-00001F050000}"/>
    <cellStyle name="40% - Accent3 2 2 4 3 2" xfId="13840" xr:uid="{EBE04615-AF3C-4293-8905-4DDB463EA374}"/>
    <cellStyle name="40% - Accent3 2 2 4 4" xfId="9622" xr:uid="{5A649D71-7AE9-4F36-BC12-6A1A9FA3E654}"/>
    <cellStyle name="40% - Accent3 2 2 5" xfId="1503" xr:uid="{00000000-0005-0000-0000-000020050000}"/>
    <cellStyle name="40% - Accent3 2 2 5 2" xfId="3733" xr:uid="{00000000-0005-0000-0000-000021050000}"/>
    <cellStyle name="40% - Accent3 2 2 5 2 2" xfId="7956" xr:uid="{00000000-0005-0000-0000-000022050000}"/>
    <cellStyle name="40% - Accent3 2 2 5 2 2 2" xfId="16398" xr:uid="{72B57991-5955-45FF-81D7-3928A47CC479}"/>
    <cellStyle name="40% - Accent3 2 2 5 2 3" xfId="12180" xr:uid="{9892F655-9F29-4564-9E1E-1D03E4CB0245}"/>
    <cellStyle name="40% - Accent3 2 2 5 3" xfId="5811" xr:uid="{00000000-0005-0000-0000-000023050000}"/>
    <cellStyle name="40% - Accent3 2 2 5 3 2" xfId="14253" xr:uid="{C960E389-E2D4-402C-B41B-C6BB0EF1A458}"/>
    <cellStyle name="40% - Accent3 2 2 5 4" xfId="10035" xr:uid="{DCA70260-D649-4E98-BF78-ED79B6DABFA3}"/>
    <cellStyle name="40% - Accent3 2 2 6" xfId="1917" xr:uid="{00000000-0005-0000-0000-000024050000}"/>
    <cellStyle name="40% - Accent3 2 2 6 2" xfId="4146" xr:uid="{00000000-0005-0000-0000-000025050000}"/>
    <cellStyle name="40% - Accent3 2 2 6 2 2" xfId="8369" xr:uid="{00000000-0005-0000-0000-000026050000}"/>
    <cellStyle name="40% - Accent3 2 2 6 2 2 2" xfId="16811" xr:uid="{FA719DF8-C5F9-44E2-84ED-14D28CFD998A}"/>
    <cellStyle name="40% - Accent3 2 2 6 2 3" xfId="12593" xr:uid="{21362813-9810-4B45-8932-8A0D8E3EAF7F}"/>
    <cellStyle name="40% - Accent3 2 2 6 3" xfId="6224" xr:uid="{00000000-0005-0000-0000-000027050000}"/>
    <cellStyle name="40% - Accent3 2 2 6 3 2" xfId="14666" xr:uid="{60B8846C-5813-4458-813C-A75B8B29999A}"/>
    <cellStyle name="40% - Accent3 2 2 6 4" xfId="10448" xr:uid="{790DDE86-7B23-4D73-93AF-DCD381E389C6}"/>
    <cellStyle name="40% - Accent3 2 2 7" xfId="2330" xr:uid="{00000000-0005-0000-0000-000028050000}"/>
    <cellStyle name="40% - Accent3 2 2 7 2" xfId="6637" xr:uid="{00000000-0005-0000-0000-000029050000}"/>
    <cellStyle name="40% - Accent3 2 2 7 2 2" xfId="15079" xr:uid="{3D27DFD0-E529-4FB1-BF18-73A7C7BF23B7}"/>
    <cellStyle name="40% - Accent3 2 2 7 3" xfId="10861" xr:uid="{AE5D2B37-70CF-43D6-A48D-16E98309F6A3}"/>
    <cellStyle name="40% - Accent3 2 2 8" xfId="4571" xr:uid="{00000000-0005-0000-0000-00002A050000}"/>
    <cellStyle name="40% - Accent3 2 2 8 2" xfId="13013" xr:uid="{C248DE88-9AC2-41AF-B7B2-1029FED16DC7}"/>
    <cellStyle name="40% - Accent3 2 2 9" xfId="8795" xr:uid="{2951A7F8-FC54-4D1B-8C9D-399DD5CE24B2}"/>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2 2 2" xfId="15574" xr:uid="{9AE779B4-BD31-4DD5-AEF7-884DE887251D}"/>
    <cellStyle name="40% - Accent3 2 3 2 2 3" xfId="11356" xr:uid="{186DF554-67FE-465A-87A6-A7BC6954B83F}"/>
    <cellStyle name="40% - Accent3 2 3 2 3" xfId="4987" xr:uid="{00000000-0005-0000-0000-00002F050000}"/>
    <cellStyle name="40% - Accent3 2 3 2 3 2" xfId="13429" xr:uid="{51DE771E-5447-4326-994D-CF93034232AD}"/>
    <cellStyle name="40% - Accent3 2 3 2 4" xfId="9211" xr:uid="{9B6FE97B-22F6-4E8E-80E1-AB27F50B2A5B}"/>
    <cellStyle name="40% - Accent3 2 3 3" xfId="1091" xr:uid="{00000000-0005-0000-0000-000030050000}"/>
    <cellStyle name="40% - Accent3 2 3 3 2" xfId="3322" xr:uid="{00000000-0005-0000-0000-000031050000}"/>
    <cellStyle name="40% - Accent3 2 3 3 2 2" xfId="7545" xr:uid="{00000000-0005-0000-0000-000032050000}"/>
    <cellStyle name="40% - Accent3 2 3 3 2 2 2" xfId="15987" xr:uid="{BAD52F70-F423-4A99-A32C-D440FC8F1402}"/>
    <cellStyle name="40% - Accent3 2 3 3 2 3" xfId="11769" xr:uid="{D4F95C06-A261-4ABB-BA31-EEF9B9DAD899}"/>
    <cellStyle name="40% - Accent3 2 3 3 3" xfId="5400" xr:uid="{00000000-0005-0000-0000-000033050000}"/>
    <cellStyle name="40% - Accent3 2 3 3 3 2" xfId="13842" xr:uid="{111608F8-D726-4D70-98D5-821636997F3E}"/>
    <cellStyle name="40% - Accent3 2 3 3 4" xfId="9624" xr:uid="{F6A8DDB1-EA17-4832-BD5D-91DDAC62BAE3}"/>
    <cellStyle name="40% - Accent3 2 3 4" xfId="1505" xr:uid="{00000000-0005-0000-0000-000034050000}"/>
    <cellStyle name="40% - Accent3 2 3 4 2" xfId="3735" xr:uid="{00000000-0005-0000-0000-000035050000}"/>
    <cellStyle name="40% - Accent3 2 3 4 2 2" xfId="7958" xr:uid="{00000000-0005-0000-0000-000036050000}"/>
    <cellStyle name="40% - Accent3 2 3 4 2 2 2" xfId="16400" xr:uid="{E14DE459-F36E-4B7B-924F-55865A25EC6F}"/>
    <cellStyle name="40% - Accent3 2 3 4 2 3" xfId="12182" xr:uid="{472BBE1C-CE91-461F-A577-6878875A5664}"/>
    <cellStyle name="40% - Accent3 2 3 4 3" xfId="5813" xr:uid="{00000000-0005-0000-0000-000037050000}"/>
    <cellStyle name="40% - Accent3 2 3 4 3 2" xfId="14255" xr:uid="{1A8FE8B6-1621-4DD9-9BFF-5AEF21970190}"/>
    <cellStyle name="40% - Accent3 2 3 4 4" xfId="10037" xr:uid="{EBF9839C-2D51-46AD-A4CF-8295C6912804}"/>
    <cellStyle name="40% - Accent3 2 3 5" xfId="1919" xr:uid="{00000000-0005-0000-0000-000038050000}"/>
    <cellStyle name="40% - Accent3 2 3 5 2" xfId="4148" xr:uid="{00000000-0005-0000-0000-000039050000}"/>
    <cellStyle name="40% - Accent3 2 3 5 2 2" xfId="8371" xr:uid="{00000000-0005-0000-0000-00003A050000}"/>
    <cellStyle name="40% - Accent3 2 3 5 2 2 2" xfId="16813" xr:uid="{819E8354-F90A-4758-BF70-2CEEF0049112}"/>
    <cellStyle name="40% - Accent3 2 3 5 2 3" xfId="12595" xr:uid="{EE2413F4-3532-4FC5-9E32-04A283102003}"/>
    <cellStyle name="40% - Accent3 2 3 5 3" xfId="6226" xr:uid="{00000000-0005-0000-0000-00003B050000}"/>
    <cellStyle name="40% - Accent3 2 3 5 3 2" xfId="14668" xr:uid="{9EFC260D-7FC7-4B5C-B95E-AB4FE97DA964}"/>
    <cellStyle name="40% - Accent3 2 3 5 4" xfId="10450" xr:uid="{93D28814-0EBD-47B4-9BB5-8733CC145222}"/>
    <cellStyle name="40% - Accent3 2 3 6" xfId="2332" xr:uid="{00000000-0005-0000-0000-00003C050000}"/>
    <cellStyle name="40% - Accent3 2 3 6 2" xfId="6639" xr:uid="{00000000-0005-0000-0000-00003D050000}"/>
    <cellStyle name="40% - Accent3 2 3 6 2 2" xfId="15081" xr:uid="{087071F3-20C8-4259-B5DA-3C0378811B70}"/>
    <cellStyle name="40% - Accent3 2 3 6 3" xfId="10863" xr:uid="{A63D2ABD-AE4D-4937-B661-72BEA38EAB6D}"/>
    <cellStyle name="40% - Accent3 2 3 7" xfId="4573" xr:uid="{00000000-0005-0000-0000-00003E050000}"/>
    <cellStyle name="40% - Accent3 2 3 7 2" xfId="13015" xr:uid="{B34A0192-C280-4C0C-B93D-09DE8657AF5C}"/>
    <cellStyle name="40% - Accent3 2 3 8" xfId="8797" xr:uid="{59FBEA3A-7A81-43EF-A640-8699BF3E04EE}"/>
    <cellStyle name="40% - Accent3 2 4" xfId="635" xr:uid="{00000000-0005-0000-0000-00003F050000}"/>
    <cellStyle name="40% - Accent3 2 4 2" xfId="2906" xr:uid="{00000000-0005-0000-0000-000040050000}"/>
    <cellStyle name="40% - Accent3 2 4 2 2" xfId="7129" xr:uid="{00000000-0005-0000-0000-000041050000}"/>
    <cellStyle name="40% - Accent3 2 4 2 2 2" xfId="15571" xr:uid="{ABF0064B-3C56-4279-8CEB-42C59CC83D21}"/>
    <cellStyle name="40% - Accent3 2 4 2 3" xfId="11353" xr:uid="{5AEBA775-6C1D-4C3B-BDD2-3EFFB5785D15}"/>
    <cellStyle name="40% - Accent3 2 4 3" xfId="4984" xr:uid="{00000000-0005-0000-0000-000042050000}"/>
    <cellStyle name="40% - Accent3 2 4 3 2" xfId="13426" xr:uid="{11652816-0F36-40FA-B821-09D1B97620E0}"/>
    <cellStyle name="40% - Accent3 2 4 4" xfId="9208" xr:uid="{4BE5C534-1AE9-4FFF-A680-D9C22EF8D0CD}"/>
    <cellStyle name="40% - Accent3 2 5" xfId="1088" xr:uid="{00000000-0005-0000-0000-000043050000}"/>
    <cellStyle name="40% - Accent3 2 5 2" xfId="3319" xr:uid="{00000000-0005-0000-0000-000044050000}"/>
    <cellStyle name="40% - Accent3 2 5 2 2" xfId="7542" xr:uid="{00000000-0005-0000-0000-000045050000}"/>
    <cellStyle name="40% - Accent3 2 5 2 2 2" xfId="15984" xr:uid="{C3BC6CA8-E057-4712-86B6-6A67292CDDE4}"/>
    <cellStyle name="40% - Accent3 2 5 2 3" xfId="11766" xr:uid="{7C4862BC-3BC5-4A3B-9C88-DB7EBCB8CE3D}"/>
    <cellStyle name="40% - Accent3 2 5 3" xfId="5397" xr:uid="{00000000-0005-0000-0000-000046050000}"/>
    <cellStyle name="40% - Accent3 2 5 3 2" xfId="13839" xr:uid="{52E20821-FF41-41A6-90C7-09BE40112E92}"/>
    <cellStyle name="40% - Accent3 2 5 4" xfId="9621" xr:uid="{98597461-3284-4514-9892-3EA40AC87721}"/>
    <cellStyle name="40% - Accent3 2 6" xfId="1502" xr:uid="{00000000-0005-0000-0000-000047050000}"/>
    <cellStyle name="40% - Accent3 2 6 2" xfId="3732" xr:uid="{00000000-0005-0000-0000-000048050000}"/>
    <cellStyle name="40% - Accent3 2 6 2 2" xfId="7955" xr:uid="{00000000-0005-0000-0000-000049050000}"/>
    <cellStyle name="40% - Accent3 2 6 2 2 2" xfId="16397" xr:uid="{8CEA05F2-302A-49DD-9BFE-712425370AFA}"/>
    <cellStyle name="40% - Accent3 2 6 2 3" xfId="12179" xr:uid="{7263DC1B-4CEA-4FD4-B048-7284BEAA1FC7}"/>
    <cellStyle name="40% - Accent3 2 6 3" xfId="5810" xr:uid="{00000000-0005-0000-0000-00004A050000}"/>
    <cellStyle name="40% - Accent3 2 6 3 2" xfId="14252" xr:uid="{AF42E289-9717-4F85-B8C5-171BB150EE82}"/>
    <cellStyle name="40% - Accent3 2 6 4" xfId="10034" xr:uid="{AC88DE35-9CB9-4B58-9B04-1F7A1901D11C}"/>
    <cellStyle name="40% - Accent3 2 7" xfId="1916" xr:uid="{00000000-0005-0000-0000-00004B050000}"/>
    <cellStyle name="40% - Accent3 2 7 2" xfId="4145" xr:uid="{00000000-0005-0000-0000-00004C050000}"/>
    <cellStyle name="40% - Accent3 2 7 2 2" xfId="8368" xr:uid="{00000000-0005-0000-0000-00004D050000}"/>
    <cellStyle name="40% - Accent3 2 7 2 2 2" xfId="16810" xr:uid="{42CA9B37-FEB9-4563-82EC-609A2E0D1F79}"/>
    <cellStyle name="40% - Accent3 2 7 2 3" xfId="12592" xr:uid="{691357D2-67D6-451F-B5DD-181E296B824F}"/>
    <cellStyle name="40% - Accent3 2 7 3" xfId="6223" xr:uid="{00000000-0005-0000-0000-00004E050000}"/>
    <cellStyle name="40% - Accent3 2 7 3 2" xfId="14665" xr:uid="{4E629AC2-5A51-48B7-8ECA-EB2C7369081F}"/>
    <cellStyle name="40% - Accent3 2 7 4" xfId="10447" xr:uid="{385F39D5-3FA3-4F3C-8EFF-521503BD72EA}"/>
    <cellStyle name="40% - Accent3 2 8" xfId="2329" xr:uid="{00000000-0005-0000-0000-00004F050000}"/>
    <cellStyle name="40% - Accent3 2 8 2" xfId="6636" xr:uid="{00000000-0005-0000-0000-000050050000}"/>
    <cellStyle name="40% - Accent3 2 8 2 2" xfId="15078" xr:uid="{7905649D-3D94-4E97-A249-05388ECC940D}"/>
    <cellStyle name="40% - Accent3 2 8 3" xfId="10860" xr:uid="{3E3E09DA-C6E2-47E5-A22A-C4DBF1DF9876}"/>
    <cellStyle name="40% - Accent3 2 9" xfId="4570" xr:uid="{00000000-0005-0000-0000-000051050000}"/>
    <cellStyle name="40% - Accent3 2 9 2" xfId="13012" xr:uid="{A0B77D0F-EA2B-4785-817B-EDEDDB5F115F}"/>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2 2 2" xfId="15576" xr:uid="{0315255C-36B9-4434-9DC3-F0F6397EBE22}"/>
    <cellStyle name="40% - Accent3 3 2 2 2 3" xfId="11358" xr:uid="{B741AE98-5D1C-44AB-BE28-62474510597A}"/>
    <cellStyle name="40% - Accent3 3 2 2 3" xfId="4989" xr:uid="{00000000-0005-0000-0000-000057050000}"/>
    <cellStyle name="40% - Accent3 3 2 2 3 2" xfId="13431" xr:uid="{7C74083B-3E50-411B-9B0B-D51C0266EDE0}"/>
    <cellStyle name="40% - Accent3 3 2 2 4" xfId="9213" xr:uid="{6515A228-9A01-4D92-B2BB-4FECC4884387}"/>
    <cellStyle name="40% - Accent3 3 2 3" xfId="1093" xr:uid="{00000000-0005-0000-0000-000058050000}"/>
    <cellStyle name="40% - Accent3 3 2 3 2" xfId="3324" xr:uid="{00000000-0005-0000-0000-000059050000}"/>
    <cellStyle name="40% - Accent3 3 2 3 2 2" xfId="7547" xr:uid="{00000000-0005-0000-0000-00005A050000}"/>
    <cellStyle name="40% - Accent3 3 2 3 2 2 2" xfId="15989" xr:uid="{B762B48E-5F6F-475F-A600-78A91F47D825}"/>
    <cellStyle name="40% - Accent3 3 2 3 2 3" xfId="11771" xr:uid="{C902895E-6E05-481F-8072-6163714AF3DE}"/>
    <cellStyle name="40% - Accent3 3 2 3 3" xfId="5402" xr:uid="{00000000-0005-0000-0000-00005B050000}"/>
    <cellStyle name="40% - Accent3 3 2 3 3 2" xfId="13844" xr:uid="{F5D12C2F-BDFF-4C99-8F74-0C67672121BC}"/>
    <cellStyle name="40% - Accent3 3 2 3 4" xfId="9626" xr:uid="{F5115BD7-609B-413D-9465-C217C3D6D99F}"/>
    <cellStyle name="40% - Accent3 3 2 4" xfId="1507" xr:uid="{00000000-0005-0000-0000-00005C050000}"/>
    <cellStyle name="40% - Accent3 3 2 4 2" xfId="3737" xr:uid="{00000000-0005-0000-0000-00005D050000}"/>
    <cellStyle name="40% - Accent3 3 2 4 2 2" xfId="7960" xr:uid="{00000000-0005-0000-0000-00005E050000}"/>
    <cellStyle name="40% - Accent3 3 2 4 2 2 2" xfId="16402" xr:uid="{695D52ED-9E55-43A9-8D85-5A32145D491C}"/>
    <cellStyle name="40% - Accent3 3 2 4 2 3" xfId="12184" xr:uid="{B6E48340-3587-408B-8BD9-D319CC5E8C56}"/>
    <cellStyle name="40% - Accent3 3 2 4 3" xfId="5815" xr:uid="{00000000-0005-0000-0000-00005F050000}"/>
    <cellStyle name="40% - Accent3 3 2 4 3 2" xfId="14257" xr:uid="{84B419FC-138B-4EC6-8748-84BC1F99B59E}"/>
    <cellStyle name="40% - Accent3 3 2 4 4" xfId="10039" xr:uid="{09A12811-10EA-4A1B-A7C3-7A6DB38CF3C8}"/>
    <cellStyle name="40% - Accent3 3 2 5" xfId="1921" xr:uid="{00000000-0005-0000-0000-000060050000}"/>
    <cellStyle name="40% - Accent3 3 2 5 2" xfId="4150" xr:uid="{00000000-0005-0000-0000-000061050000}"/>
    <cellStyle name="40% - Accent3 3 2 5 2 2" xfId="8373" xr:uid="{00000000-0005-0000-0000-000062050000}"/>
    <cellStyle name="40% - Accent3 3 2 5 2 2 2" xfId="16815" xr:uid="{97C5CB08-3209-4382-95BE-7D2706486187}"/>
    <cellStyle name="40% - Accent3 3 2 5 2 3" xfId="12597" xr:uid="{6F84FB39-5BC8-458B-B6F7-F303810AA20C}"/>
    <cellStyle name="40% - Accent3 3 2 5 3" xfId="6228" xr:uid="{00000000-0005-0000-0000-000063050000}"/>
    <cellStyle name="40% - Accent3 3 2 5 3 2" xfId="14670" xr:uid="{0CF123DA-CD19-4C11-8CFB-5748422F9CBF}"/>
    <cellStyle name="40% - Accent3 3 2 5 4" xfId="10452" xr:uid="{07E8D10C-41F5-4B80-8B19-D7096596F9AF}"/>
    <cellStyle name="40% - Accent3 3 2 6" xfId="2334" xr:uid="{00000000-0005-0000-0000-000064050000}"/>
    <cellStyle name="40% - Accent3 3 2 6 2" xfId="6641" xr:uid="{00000000-0005-0000-0000-000065050000}"/>
    <cellStyle name="40% - Accent3 3 2 6 2 2" xfId="15083" xr:uid="{9D9B7652-DB71-4282-904F-1F845E3E8DBE}"/>
    <cellStyle name="40% - Accent3 3 2 6 3" xfId="10865" xr:uid="{66E917BD-B6F2-4F90-8849-B038FEAF3FC4}"/>
    <cellStyle name="40% - Accent3 3 2 7" xfId="4575" xr:uid="{00000000-0005-0000-0000-000066050000}"/>
    <cellStyle name="40% - Accent3 3 2 7 2" xfId="13017" xr:uid="{817F9001-2ED3-44D0-8629-A36F95D19046}"/>
    <cellStyle name="40% - Accent3 3 2 8" xfId="8799" xr:uid="{37A66972-E57D-4BBA-A029-73E0E8225232}"/>
    <cellStyle name="40% - Accent3 3 3" xfId="639" xr:uid="{00000000-0005-0000-0000-000067050000}"/>
    <cellStyle name="40% - Accent3 3 3 2" xfId="2910" xr:uid="{00000000-0005-0000-0000-000068050000}"/>
    <cellStyle name="40% - Accent3 3 3 2 2" xfId="7133" xr:uid="{00000000-0005-0000-0000-000069050000}"/>
    <cellStyle name="40% - Accent3 3 3 2 2 2" xfId="15575" xr:uid="{DF34CC08-F634-4A32-88FF-CBEBFD02247A}"/>
    <cellStyle name="40% - Accent3 3 3 2 3" xfId="11357" xr:uid="{6E81FDA5-AF1C-415E-8D1D-D95DC87F2577}"/>
    <cellStyle name="40% - Accent3 3 3 3" xfId="4988" xr:uid="{00000000-0005-0000-0000-00006A050000}"/>
    <cellStyle name="40% - Accent3 3 3 3 2" xfId="13430" xr:uid="{45DF623A-F227-4E4F-8F66-0B583EF4E6DF}"/>
    <cellStyle name="40% - Accent3 3 3 4" xfId="9212" xr:uid="{19F11E40-4E5E-4A26-B73D-B4881EDE6899}"/>
    <cellStyle name="40% - Accent3 3 4" xfId="1092" xr:uid="{00000000-0005-0000-0000-00006B050000}"/>
    <cellStyle name="40% - Accent3 3 4 2" xfId="3323" xr:uid="{00000000-0005-0000-0000-00006C050000}"/>
    <cellStyle name="40% - Accent3 3 4 2 2" xfId="7546" xr:uid="{00000000-0005-0000-0000-00006D050000}"/>
    <cellStyle name="40% - Accent3 3 4 2 2 2" xfId="15988" xr:uid="{914A82E6-0BF2-44A6-BA7A-E5B7E09B346A}"/>
    <cellStyle name="40% - Accent3 3 4 2 3" xfId="11770" xr:uid="{267504FE-576E-49FB-99A0-319C78467EE3}"/>
    <cellStyle name="40% - Accent3 3 4 3" xfId="5401" xr:uid="{00000000-0005-0000-0000-00006E050000}"/>
    <cellStyle name="40% - Accent3 3 4 3 2" xfId="13843" xr:uid="{55C04734-0128-4979-881E-DD0D7C3BB052}"/>
    <cellStyle name="40% - Accent3 3 4 4" xfId="9625" xr:uid="{99B6EAD1-9997-407A-A428-43E9F437FF76}"/>
    <cellStyle name="40% - Accent3 3 5" xfId="1506" xr:uid="{00000000-0005-0000-0000-00006F050000}"/>
    <cellStyle name="40% - Accent3 3 5 2" xfId="3736" xr:uid="{00000000-0005-0000-0000-000070050000}"/>
    <cellStyle name="40% - Accent3 3 5 2 2" xfId="7959" xr:uid="{00000000-0005-0000-0000-000071050000}"/>
    <cellStyle name="40% - Accent3 3 5 2 2 2" xfId="16401" xr:uid="{36250C36-2389-457D-B5A3-B2446DEA6958}"/>
    <cellStyle name="40% - Accent3 3 5 2 3" xfId="12183" xr:uid="{662DCC87-FC6C-45DA-B4F5-DA9217EDA124}"/>
    <cellStyle name="40% - Accent3 3 5 3" xfId="5814" xr:uid="{00000000-0005-0000-0000-000072050000}"/>
    <cellStyle name="40% - Accent3 3 5 3 2" xfId="14256" xr:uid="{8BD92316-D50E-418C-A5C4-875739109DAA}"/>
    <cellStyle name="40% - Accent3 3 5 4" xfId="10038" xr:uid="{33F13388-A979-44D9-9854-5F18327F1F71}"/>
    <cellStyle name="40% - Accent3 3 6" xfId="1920" xr:uid="{00000000-0005-0000-0000-000073050000}"/>
    <cellStyle name="40% - Accent3 3 6 2" xfId="4149" xr:uid="{00000000-0005-0000-0000-000074050000}"/>
    <cellStyle name="40% - Accent3 3 6 2 2" xfId="8372" xr:uid="{00000000-0005-0000-0000-000075050000}"/>
    <cellStyle name="40% - Accent3 3 6 2 2 2" xfId="16814" xr:uid="{1022F6BB-C31A-42B1-921A-4062DC5A057F}"/>
    <cellStyle name="40% - Accent3 3 6 2 3" xfId="12596" xr:uid="{DD815B01-777E-40FE-9BC0-158B14BC4CE1}"/>
    <cellStyle name="40% - Accent3 3 6 3" xfId="6227" xr:uid="{00000000-0005-0000-0000-000076050000}"/>
    <cellStyle name="40% - Accent3 3 6 3 2" xfId="14669" xr:uid="{4395A083-F6CB-48C7-A7E5-07CE010B45C4}"/>
    <cellStyle name="40% - Accent3 3 6 4" xfId="10451" xr:uid="{5F37D9EC-5F88-438A-A370-7EFAB35B9BE6}"/>
    <cellStyle name="40% - Accent3 3 7" xfId="2333" xr:uid="{00000000-0005-0000-0000-000077050000}"/>
    <cellStyle name="40% - Accent3 3 7 2" xfId="6640" xr:uid="{00000000-0005-0000-0000-000078050000}"/>
    <cellStyle name="40% - Accent3 3 7 2 2" xfId="15082" xr:uid="{3AE80A2B-15F8-4209-8427-07D3A9C1868F}"/>
    <cellStyle name="40% - Accent3 3 7 3" xfId="10864" xr:uid="{C709C55A-C084-4515-BBBD-4DEBC3BA7FDC}"/>
    <cellStyle name="40% - Accent3 3 8" xfId="4574" xr:uid="{00000000-0005-0000-0000-000079050000}"/>
    <cellStyle name="40% - Accent3 3 8 2" xfId="13016" xr:uid="{BB365788-7EB9-46D7-9768-11797B32A8C1}"/>
    <cellStyle name="40% - Accent3 3 9" xfId="8798" xr:uid="{0CD7597C-5635-40F3-A5FD-02EBF2C7501E}"/>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2 2 2" xfId="15577" xr:uid="{CBC7D076-F03B-4972-9F5A-7BC1A081B215}"/>
    <cellStyle name="40% - Accent3 4 2 2 3" xfId="11359" xr:uid="{64B20979-8694-43BF-9FED-85441B2DF5E1}"/>
    <cellStyle name="40% - Accent3 4 2 3" xfId="4990" xr:uid="{00000000-0005-0000-0000-00007E050000}"/>
    <cellStyle name="40% - Accent3 4 2 3 2" xfId="13432" xr:uid="{09ABA046-3CD8-4E63-97BF-86A8D47C4757}"/>
    <cellStyle name="40% - Accent3 4 2 4" xfId="9214" xr:uid="{2D2AFDF6-89CA-4E07-8D81-4A16E7D9DF2C}"/>
    <cellStyle name="40% - Accent3 4 3" xfId="1094" xr:uid="{00000000-0005-0000-0000-00007F050000}"/>
    <cellStyle name="40% - Accent3 4 3 2" xfId="3325" xr:uid="{00000000-0005-0000-0000-000080050000}"/>
    <cellStyle name="40% - Accent3 4 3 2 2" xfId="7548" xr:uid="{00000000-0005-0000-0000-000081050000}"/>
    <cellStyle name="40% - Accent3 4 3 2 2 2" xfId="15990" xr:uid="{A539099D-589F-480B-AAC5-C6918F219D07}"/>
    <cellStyle name="40% - Accent3 4 3 2 3" xfId="11772" xr:uid="{DBB9AB5E-4DEF-4712-B952-37BB4B97E5E4}"/>
    <cellStyle name="40% - Accent3 4 3 3" xfId="5403" xr:uid="{00000000-0005-0000-0000-000082050000}"/>
    <cellStyle name="40% - Accent3 4 3 3 2" xfId="13845" xr:uid="{41EDE4D8-1CF9-4351-91DD-B18601430AE2}"/>
    <cellStyle name="40% - Accent3 4 3 4" xfId="9627" xr:uid="{7875F613-E80E-4908-B69F-098D98D825F4}"/>
    <cellStyle name="40% - Accent3 4 4" xfId="1508" xr:uid="{00000000-0005-0000-0000-000083050000}"/>
    <cellStyle name="40% - Accent3 4 4 2" xfId="3738" xr:uid="{00000000-0005-0000-0000-000084050000}"/>
    <cellStyle name="40% - Accent3 4 4 2 2" xfId="7961" xr:uid="{00000000-0005-0000-0000-000085050000}"/>
    <cellStyle name="40% - Accent3 4 4 2 2 2" xfId="16403" xr:uid="{BC518DD7-C47C-46FA-ABC3-51C2AC857386}"/>
    <cellStyle name="40% - Accent3 4 4 2 3" xfId="12185" xr:uid="{7B6E3270-5F68-4EAB-9D66-E3C290082112}"/>
    <cellStyle name="40% - Accent3 4 4 3" xfId="5816" xr:uid="{00000000-0005-0000-0000-000086050000}"/>
    <cellStyle name="40% - Accent3 4 4 3 2" xfId="14258" xr:uid="{F1DFB503-9251-447F-86E0-7581BDDBA19D}"/>
    <cellStyle name="40% - Accent3 4 4 4" xfId="10040" xr:uid="{69124FBA-D92B-4676-B5CE-0E66C8DA0C93}"/>
    <cellStyle name="40% - Accent3 4 5" xfId="1922" xr:uid="{00000000-0005-0000-0000-000087050000}"/>
    <cellStyle name="40% - Accent3 4 5 2" xfId="4151" xr:uid="{00000000-0005-0000-0000-000088050000}"/>
    <cellStyle name="40% - Accent3 4 5 2 2" xfId="8374" xr:uid="{00000000-0005-0000-0000-000089050000}"/>
    <cellStyle name="40% - Accent3 4 5 2 2 2" xfId="16816" xr:uid="{71980E49-5954-4DC0-B3C7-5E924096AE64}"/>
    <cellStyle name="40% - Accent3 4 5 2 3" xfId="12598" xr:uid="{6F14CB49-7BFD-4E31-9DCE-3814C9181278}"/>
    <cellStyle name="40% - Accent3 4 5 3" xfId="6229" xr:uid="{00000000-0005-0000-0000-00008A050000}"/>
    <cellStyle name="40% - Accent3 4 5 3 2" xfId="14671" xr:uid="{AD988904-E165-4A02-9998-DF5C56B65C73}"/>
    <cellStyle name="40% - Accent3 4 5 4" xfId="10453" xr:uid="{CA2411E0-1D28-4E9D-9F45-4864E44BBE9D}"/>
    <cellStyle name="40% - Accent3 4 6" xfId="2335" xr:uid="{00000000-0005-0000-0000-00008B050000}"/>
    <cellStyle name="40% - Accent3 4 6 2" xfId="6642" xr:uid="{00000000-0005-0000-0000-00008C050000}"/>
    <cellStyle name="40% - Accent3 4 6 2 2" xfId="15084" xr:uid="{3EA570D9-0482-4065-801F-C3CD50FB184C}"/>
    <cellStyle name="40% - Accent3 4 6 3" xfId="10866" xr:uid="{BFB63489-671D-4334-B498-6B8F2461E443}"/>
    <cellStyle name="40% - Accent3 4 7" xfId="4576" xr:uid="{00000000-0005-0000-0000-00008D050000}"/>
    <cellStyle name="40% - Accent3 4 7 2" xfId="13018" xr:uid="{764491CE-5916-4EE3-A800-0F659FDDED55}"/>
    <cellStyle name="40% - Accent3 4 8" xfId="8800" xr:uid="{B581CFC9-9CE5-46C3-9AF7-262CA7685D56}"/>
    <cellStyle name="40% - Accent3 5" xfId="634" xr:uid="{00000000-0005-0000-0000-00008E050000}"/>
    <cellStyle name="40% - Accent3 5 2" xfId="2905" xr:uid="{00000000-0005-0000-0000-00008F050000}"/>
    <cellStyle name="40% - Accent3 5 2 2" xfId="7128" xr:uid="{00000000-0005-0000-0000-000090050000}"/>
    <cellStyle name="40% - Accent3 5 2 2 2" xfId="15570" xr:uid="{A63CBA96-176D-42F2-A7E3-B00C5AC8E0F3}"/>
    <cellStyle name="40% - Accent3 5 2 3" xfId="11352" xr:uid="{BD65C0DB-F914-464E-A535-4EF2D2D18382}"/>
    <cellStyle name="40% - Accent3 5 3" xfId="4983" xr:uid="{00000000-0005-0000-0000-000091050000}"/>
    <cellStyle name="40% - Accent3 5 3 2" xfId="13425" xr:uid="{364538F9-A2EF-4C25-97E6-A3F3CABB790E}"/>
    <cellStyle name="40% - Accent3 5 4" xfId="9207" xr:uid="{D2F87787-0EE1-475B-84E6-A72EEA3216F0}"/>
    <cellStyle name="40% - Accent3 6" xfId="1087" xr:uid="{00000000-0005-0000-0000-000092050000}"/>
    <cellStyle name="40% - Accent3 6 2" xfId="3318" xr:uid="{00000000-0005-0000-0000-000093050000}"/>
    <cellStyle name="40% - Accent3 6 2 2" xfId="7541" xr:uid="{00000000-0005-0000-0000-000094050000}"/>
    <cellStyle name="40% - Accent3 6 2 2 2" xfId="15983" xr:uid="{8FF4D695-03B1-4CEC-80DA-C242E92106E6}"/>
    <cellStyle name="40% - Accent3 6 2 3" xfId="11765" xr:uid="{8CFC3EE4-D8EB-4F9F-90E5-FB31A7AEFC00}"/>
    <cellStyle name="40% - Accent3 6 3" xfId="5396" xr:uid="{00000000-0005-0000-0000-000095050000}"/>
    <cellStyle name="40% - Accent3 6 3 2" xfId="13838" xr:uid="{39109BF4-2765-49F8-9D1C-50CC9F387AF7}"/>
    <cellStyle name="40% - Accent3 6 4" xfId="9620" xr:uid="{5F0CD336-EBFC-4A1D-A3E5-3DF7357C530B}"/>
    <cellStyle name="40% - Accent3 7" xfId="1501" xr:uid="{00000000-0005-0000-0000-000096050000}"/>
    <cellStyle name="40% - Accent3 7 2" xfId="3731" xr:uid="{00000000-0005-0000-0000-000097050000}"/>
    <cellStyle name="40% - Accent3 7 2 2" xfId="7954" xr:uid="{00000000-0005-0000-0000-000098050000}"/>
    <cellStyle name="40% - Accent3 7 2 2 2" xfId="16396" xr:uid="{52CDED43-2093-44DE-BE62-A1737F68A538}"/>
    <cellStyle name="40% - Accent3 7 2 3" xfId="12178" xr:uid="{AB7A53D7-89DF-4486-9E31-459FCB6A2E11}"/>
    <cellStyle name="40% - Accent3 7 3" xfId="5809" xr:uid="{00000000-0005-0000-0000-000099050000}"/>
    <cellStyle name="40% - Accent3 7 3 2" xfId="14251" xr:uid="{AE5D145D-DB1B-4270-8A47-43360C6B8507}"/>
    <cellStyle name="40% - Accent3 7 4" xfId="10033" xr:uid="{7B00E37B-6550-4DD0-BD05-14986483866D}"/>
    <cellStyle name="40% - Accent3 8" xfId="1915" xr:uid="{00000000-0005-0000-0000-00009A050000}"/>
    <cellStyle name="40% - Accent3 8 2" xfId="4144" xr:uid="{00000000-0005-0000-0000-00009B050000}"/>
    <cellStyle name="40% - Accent3 8 2 2" xfId="8367" xr:uid="{00000000-0005-0000-0000-00009C050000}"/>
    <cellStyle name="40% - Accent3 8 2 2 2" xfId="16809" xr:uid="{F39D8293-A81F-4087-8E27-E7273232B965}"/>
    <cellStyle name="40% - Accent3 8 2 3" xfId="12591" xr:uid="{8E6AC8FA-5D83-461F-9B48-AF79BDBAB840}"/>
    <cellStyle name="40% - Accent3 8 3" xfId="6222" xr:uid="{00000000-0005-0000-0000-00009D050000}"/>
    <cellStyle name="40% - Accent3 8 3 2" xfId="14664" xr:uid="{41CBEBDF-C078-4066-BBB4-2FF92910C636}"/>
    <cellStyle name="40% - Accent3 8 4" xfId="10446" xr:uid="{2AB9F979-73B0-4034-90B3-021F159BFC33}"/>
    <cellStyle name="40% - Accent3 9" xfId="2328" xr:uid="{00000000-0005-0000-0000-00009E050000}"/>
    <cellStyle name="40% - Accent3 9 2" xfId="6635" xr:uid="{00000000-0005-0000-0000-00009F050000}"/>
    <cellStyle name="40% - Accent3 9 2 2" xfId="15077" xr:uid="{3963C02B-6E12-4314-B108-8C013DC8DD9C}"/>
    <cellStyle name="40% - Accent3 9 3" xfId="10859" xr:uid="{73881E4D-1CFE-4AE3-AD02-F9EA86775D37}"/>
    <cellStyle name="40% - Accent4" xfId="73" builtinId="43" customBuiltin="1"/>
    <cellStyle name="40% - Accent4 10" xfId="4577" xr:uid="{00000000-0005-0000-0000-0000A1050000}"/>
    <cellStyle name="40% - Accent4 10 2" xfId="13019" xr:uid="{6B0224F5-ABD3-488D-8B37-D49B6BAC1EAC}"/>
    <cellStyle name="40% - Accent4 11" xfId="8801" xr:uid="{16F68316-6E68-4913-9BC1-8E1E22CA5FB4}"/>
    <cellStyle name="40% - Accent4 2" xfId="74" xr:uid="{00000000-0005-0000-0000-0000A2050000}"/>
    <cellStyle name="40% - Accent4 2 10" xfId="8802" xr:uid="{6857C95E-7911-4B31-A310-C60EE7CE7C8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2 2 2" xfId="15581" xr:uid="{E60A1C11-AEBC-4BCF-81FC-363BDDD6FCA1}"/>
    <cellStyle name="40% - Accent4 2 2 2 2 2 3" xfId="11363" xr:uid="{ACEFF434-8ADE-48DA-B9B9-9308CC4FC1F7}"/>
    <cellStyle name="40% - Accent4 2 2 2 2 3" xfId="4994" xr:uid="{00000000-0005-0000-0000-0000A8050000}"/>
    <cellStyle name="40% - Accent4 2 2 2 2 3 2" xfId="13436" xr:uid="{039C6C84-743B-4506-BCBF-7ECE04922B7E}"/>
    <cellStyle name="40% - Accent4 2 2 2 2 4" xfId="9218" xr:uid="{FCCB9CC2-A6A4-4215-91E0-7C5AE145EAA3}"/>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2 2 2" xfId="15994" xr:uid="{58C6DFE0-F0FD-4EE6-A818-29E21FABD285}"/>
    <cellStyle name="40% - Accent4 2 2 2 3 2 3" xfId="11776" xr:uid="{48D07432-58FA-444A-BDCF-A08B8FDBC106}"/>
    <cellStyle name="40% - Accent4 2 2 2 3 3" xfId="5407" xr:uid="{00000000-0005-0000-0000-0000AC050000}"/>
    <cellStyle name="40% - Accent4 2 2 2 3 3 2" xfId="13849" xr:uid="{EC25D5B2-C44C-47E2-800B-6AFEA7B276B8}"/>
    <cellStyle name="40% - Accent4 2 2 2 3 4" xfId="9631" xr:uid="{CD0B7284-90C8-4434-8D94-CA690A8454DE}"/>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2 2 2" xfId="16407" xr:uid="{32C38078-4CE3-4D07-BE6C-CA49B0814DB1}"/>
    <cellStyle name="40% - Accent4 2 2 2 4 2 3" xfId="12189" xr:uid="{89CA217F-01A5-41CF-A9E4-9910E6F3DA68}"/>
    <cellStyle name="40% - Accent4 2 2 2 4 3" xfId="5820" xr:uid="{00000000-0005-0000-0000-0000B0050000}"/>
    <cellStyle name="40% - Accent4 2 2 2 4 3 2" xfId="14262" xr:uid="{A91F5442-DC81-4688-A946-21B942D1CDEC}"/>
    <cellStyle name="40% - Accent4 2 2 2 4 4" xfId="10044" xr:uid="{2F53B3E1-FE45-4B42-89D7-42F700C18A6D}"/>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2 2 2" xfId="16820" xr:uid="{274BDCF3-6BCE-4672-B39E-0687283A4D1A}"/>
    <cellStyle name="40% - Accent4 2 2 2 5 2 3" xfId="12602" xr:uid="{E1FB308C-1EF6-409F-A1DD-B20B967C43FD}"/>
    <cellStyle name="40% - Accent4 2 2 2 5 3" xfId="6233" xr:uid="{00000000-0005-0000-0000-0000B4050000}"/>
    <cellStyle name="40% - Accent4 2 2 2 5 3 2" xfId="14675" xr:uid="{E8287D16-CD9E-4181-ABD1-DCCA428E7ED6}"/>
    <cellStyle name="40% - Accent4 2 2 2 5 4" xfId="10457" xr:uid="{55A2DA36-6BFF-40A7-B219-372FFA702DEC}"/>
    <cellStyle name="40% - Accent4 2 2 2 6" xfId="2339" xr:uid="{00000000-0005-0000-0000-0000B5050000}"/>
    <cellStyle name="40% - Accent4 2 2 2 6 2" xfId="6646" xr:uid="{00000000-0005-0000-0000-0000B6050000}"/>
    <cellStyle name="40% - Accent4 2 2 2 6 2 2" xfId="15088" xr:uid="{6E1E96E5-D1A3-43D7-A27E-0ED418DE75C3}"/>
    <cellStyle name="40% - Accent4 2 2 2 6 3" xfId="10870" xr:uid="{42A6466C-953B-447A-8C8C-A32280CEA05F}"/>
    <cellStyle name="40% - Accent4 2 2 2 7" xfId="4580" xr:uid="{00000000-0005-0000-0000-0000B7050000}"/>
    <cellStyle name="40% - Accent4 2 2 2 7 2" xfId="13022" xr:uid="{7A7B49AC-DB2E-4F92-AEB8-C8DC3028C8B1}"/>
    <cellStyle name="40% - Accent4 2 2 2 8" xfId="8804" xr:uid="{590E092D-37AA-4208-9011-BCA3BB179E65}"/>
    <cellStyle name="40% - Accent4 2 2 3" xfId="644" xr:uid="{00000000-0005-0000-0000-0000B8050000}"/>
    <cellStyle name="40% - Accent4 2 2 3 2" xfId="2915" xr:uid="{00000000-0005-0000-0000-0000B9050000}"/>
    <cellStyle name="40% - Accent4 2 2 3 2 2" xfId="7138" xr:uid="{00000000-0005-0000-0000-0000BA050000}"/>
    <cellStyle name="40% - Accent4 2 2 3 2 2 2" xfId="15580" xr:uid="{F7EC4921-A19F-4C0C-B4A6-16EC709481BB}"/>
    <cellStyle name="40% - Accent4 2 2 3 2 3" xfId="11362" xr:uid="{8C4B6E5D-C9D3-4254-8EA0-3772F4CF91B4}"/>
    <cellStyle name="40% - Accent4 2 2 3 3" xfId="4993" xr:uid="{00000000-0005-0000-0000-0000BB050000}"/>
    <cellStyle name="40% - Accent4 2 2 3 3 2" xfId="13435" xr:uid="{ECF7DCF9-0E62-4FDD-AED6-88D972F4F261}"/>
    <cellStyle name="40% - Accent4 2 2 3 4" xfId="9217" xr:uid="{13C9E20A-BA72-4A3D-BDB7-239013EEB670}"/>
    <cellStyle name="40% - Accent4 2 2 4" xfId="1097" xr:uid="{00000000-0005-0000-0000-0000BC050000}"/>
    <cellStyle name="40% - Accent4 2 2 4 2" xfId="3328" xr:uid="{00000000-0005-0000-0000-0000BD050000}"/>
    <cellStyle name="40% - Accent4 2 2 4 2 2" xfId="7551" xr:uid="{00000000-0005-0000-0000-0000BE050000}"/>
    <cellStyle name="40% - Accent4 2 2 4 2 2 2" xfId="15993" xr:uid="{1339C320-F045-448A-B806-415D4DB4894C}"/>
    <cellStyle name="40% - Accent4 2 2 4 2 3" xfId="11775" xr:uid="{BC7D4F40-E0C6-497D-BA23-A1FDA69B0739}"/>
    <cellStyle name="40% - Accent4 2 2 4 3" xfId="5406" xr:uid="{00000000-0005-0000-0000-0000BF050000}"/>
    <cellStyle name="40% - Accent4 2 2 4 3 2" xfId="13848" xr:uid="{4DE339E8-910E-4B5A-B679-ED3BB1547CC7}"/>
    <cellStyle name="40% - Accent4 2 2 4 4" xfId="9630" xr:uid="{3A85FDE2-48E0-4DF6-B710-0D10CB8D973D}"/>
    <cellStyle name="40% - Accent4 2 2 5" xfId="1511" xr:uid="{00000000-0005-0000-0000-0000C0050000}"/>
    <cellStyle name="40% - Accent4 2 2 5 2" xfId="3741" xr:uid="{00000000-0005-0000-0000-0000C1050000}"/>
    <cellStyle name="40% - Accent4 2 2 5 2 2" xfId="7964" xr:uid="{00000000-0005-0000-0000-0000C2050000}"/>
    <cellStyle name="40% - Accent4 2 2 5 2 2 2" xfId="16406" xr:uid="{65626638-C7CA-42CC-AC7D-7CD0E717BC51}"/>
    <cellStyle name="40% - Accent4 2 2 5 2 3" xfId="12188" xr:uid="{DA63D90C-DEBD-4757-AD6D-9BF6A88B24DF}"/>
    <cellStyle name="40% - Accent4 2 2 5 3" xfId="5819" xr:uid="{00000000-0005-0000-0000-0000C3050000}"/>
    <cellStyle name="40% - Accent4 2 2 5 3 2" xfId="14261" xr:uid="{CFDAE3B8-EE01-4900-9E1D-336EA39A40F1}"/>
    <cellStyle name="40% - Accent4 2 2 5 4" xfId="10043" xr:uid="{904C4DF8-3214-4743-9FA3-8BCCEA55298F}"/>
    <cellStyle name="40% - Accent4 2 2 6" xfId="1925" xr:uid="{00000000-0005-0000-0000-0000C4050000}"/>
    <cellStyle name="40% - Accent4 2 2 6 2" xfId="4154" xr:uid="{00000000-0005-0000-0000-0000C5050000}"/>
    <cellStyle name="40% - Accent4 2 2 6 2 2" xfId="8377" xr:uid="{00000000-0005-0000-0000-0000C6050000}"/>
    <cellStyle name="40% - Accent4 2 2 6 2 2 2" xfId="16819" xr:uid="{D792D361-B7EE-48D8-A6F3-82BBBDA3546E}"/>
    <cellStyle name="40% - Accent4 2 2 6 2 3" xfId="12601" xr:uid="{40160B9C-8843-4F01-99AC-DFF8333DCA93}"/>
    <cellStyle name="40% - Accent4 2 2 6 3" xfId="6232" xr:uid="{00000000-0005-0000-0000-0000C7050000}"/>
    <cellStyle name="40% - Accent4 2 2 6 3 2" xfId="14674" xr:uid="{2423653F-7B3A-4D4E-BDE2-9A1D03317B5C}"/>
    <cellStyle name="40% - Accent4 2 2 6 4" xfId="10456" xr:uid="{39986CCC-66EA-4A47-8EB7-7851D11FA21A}"/>
    <cellStyle name="40% - Accent4 2 2 7" xfId="2338" xr:uid="{00000000-0005-0000-0000-0000C8050000}"/>
    <cellStyle name="40% - Accent4 2 2 7 2" xfId="6645" xr:uid="{00000000-0005-0000-0000-0000C9050000}"/>
    <cellStyle name="40% - Accent4 2 2 7 2 2" xfId="15087" xr:uid="{46E11540-70C2-43C1-898C-19861A917F1E}"/>
    <cellStyle name="40% - Accent4 2 2 7 3" xfId="10869" xr:uid="{91056EBF-656D-4391-8107-38256C360072}"/>
    <cellStyle name="40% - Accent4 2 2 8" xfId="4579" xr:uid="{00000000-0005-0000-0000-0000CA050000}"/>
    <cellStyle name="40% - Accent4 2 2 8 2" xfId="13021" xr:uid="{3840A8C5-17E4-469E-A68E-5C1903593ACC}"/>
    <cellStyle name="40% - Accent4 2 2 9" xfId="8803" xr:uid="{9B209B80-D767-4C01-B6A2-AFDB084789B1}"/>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2 2 2" xfId="15582" xr:uid="{E8492B9A-DB35-4389-BF2D-5BFFE083688F}"/>
    <cellStyle name="40% - Accent4 2 3 2 2 3" xfId="11364" xr:uid="{CD3465B6-A112-45D9-9A7B-C224CD899A3F}"/>
    <cellStyle name="40% - Accent4 2 3 2 3" xfId="4995" xr:uid="{00000000-0005-0000-0000-0000CF050000}"/>
    <cellStyle name="40% - Accent4 2 3 2 3 2" xfId="13437" xr:uid="{50C2A8A3-1651-4561-8CE1-4489EA258EEA}"/>
    <cellStyle name="40% - Accent4 2 3 2 4" xfId="9219" xr:uid="{A7891D50-FD5F-4A0B-9BF9-C4106F0A0657}"/>
    <cellStyle name="40% - Accent4 2 3 3" xfId="1099" xr:uid="{00000000-0005-0000-0000-0000D0050000}"/>
    <cellStyle name="40% - Accent4 2 3 3 2" xfId="3330" xr:uid="{00000000-0005-0000-0000-0000D1050000}"/>
    <cellStyle name="40% - Accent4 2 3 3 2 2" xfId="7553" xr:uid="{00000000-0005-0000-0000-0000D2050000}"/>
    <cellStyle name="40% - Accent4 2 3 3 2 2 2" xfId="15995" xr:uid="{B3E23D01-73CE-4B3D-9C14-8EBBDA2E4C03}"/>
    <cellStyle name="40% - Accent4 2 3 3 2 3" xfId="11777" xr:uid="{DA4D277F-6B27-4B2A-A9B2-DEFABE10B9EB}"/>
    <cellStyle name="40% - Accent4 2 3 3 3" xfId="5408" xr:uid="{00000000-0005-0000-0000-0000D3050000}"/>
    <cellStyle name="40% - Accent4 2 3 3 3 2" xfId="13850" xr:uid="{BC3ECFBE-3A36-44BD-833C-E16BEB09EE30}"/>
    <cellStyle name="40% - Accent4 2 3 3 4" xfId="9632" xr:uid="{C2D50A6E-7BDF-4964-A0FA-0B979A502146}"/>
    <cellStyle name="40% - Accent4 2 3 4" xfId="1513" xr:uid="{00000000-0005-0000-0000-0000D4050000}"/>
    <cellStyle name="40% - Accent4 2 3 4 2" xfId="3743" xr:uid="{00000000-0005-0000-0000-0000D5050000}"/>
    <cellStyle name="40% - Accent4 2 3 4 2 2" xfId="7966" xr:uid="{00000000-0005-0000-0000-0000D6050000}"/>
    <cellStyle name="40% - Accent4 2 3 4 2 2 2" xfId="16408" xr:uid="{F55EB08E-91F7-4BBF-8974-E54599F4D9D8}"/>
    <cellStyle name="40% - Accent4 2 3 4 2 3" xfId="12190" xr:uid="{B004AE47-6496-4148-A6C7-0D95C4D6FA5D}"/>
    <cellStyle name="40% - Accent4 2 3 4 3" xfId="5821" xr:uid="{00000000-0005-0000-0000-0000D7050000}"/>
    <cellStyle name="40% - Accent4 2 3 4 3 2" xfId="14263" xr:uid="{43364140-4A37-4EB4-A4BD-48EAAF789946}"/>
    <cellStyle name="40% - Accent4 2 3 4 4" xfId="10045" xr:uid="{90B12CFC-E54D-491A-9564-15E39E1D64BD}"/>
    <cellStyle name="40% - Accent4 2 3 5" xfId="1927" xr:uid="{00000000-0005-0000-0000-0000D8050000}"/>
    <cellStyle name="40% - Accent4 2 3 5 2" xfId="4156" xr:uid="{00000000-0005-0000-0000-0000D9050000}"/>
    <cellStyle name="40% - Accent4 2 3 5 2 2" xfId="8379" xr:uid="{00000000-0005-0000-0000-0000DA050000}"/>
    <cellStyle name="40% - Accent4 2 3 5 2 2 2" xfId="16821" xr:uid="{98D69BDD-CF74-4D65-997B-109F1A29507A}"/>
    <cellStyle name="40% - Accent4 2 3 5 2 3" xfId="12603" xr:uid="{F5311A31-C2D7-4DD4-ADE0-A7B891407618}"/>
    <cellStyle name="40% - Accent4 2 3 5 3" xfId="6234" xr:uid="{00000000-0005-0000-0000-0000DB050000}"/>
    <cellStyle name="40% - Accent4 2 3 5 3 2" xfId="14676" xr:uid="{63C6AAD8-6F91-4791-9734-633523AC0458}"/>
    <cellStyle name="40% - Accent4 2 3 5 4" xfId="10458" xr:uid="{B64B183E-538D-4692-91C3-6B33A9071FF4}"/>
    <cellStyle name="40% - Accent4 2 3 6" xfId="2340" xr:uid="{00000000-0005-0000-0000-0000DC050000}"/>
    <cellStyle name="40% - Accent4 2 3 6 2" xfId="6647" xr:uid="{00000000-0005-0000-0000-0000DD050000}"/>
    <cellStyle name="40% - Accent4 2 3 6 2 2" xfId="15089" xr:uid="{AA1F62C4-E904-46D0-8948-D2249793000C}"/>
    <cellStyle name="40% - Accent4 2 3 6 3" xfId="10871" xr:uid="{345DB40A-B240-4F23-8850-58FD9EF2DA9A}"/>
    <cellStyle name="40% - Accent4 2 3 7" xfId="4581" xr:uid="{00000000-0005-0000-0000-0000DE050000}"/>
    <cellStyle name="40% - Accent4 2 3 7 2" xfId="13023" xr:uid="{ECF462CC-7276-4D73-8A31-CF8787EFC315}"/>
    <cellStyle name="40% - Accent4 2 3 8" xfId="8805" xr:uid="{C0C0285D-666E-4FA2-A2B9-7C7EB1AFDFD5}"/>
    <cellStyle name="40% - Accent4 2 4" xfId="643" xr:uid="{00000000-0005-0000-0000-0000DF050000}"/>
    <cellStyle name="40% - Accent4 2 4 2" xfId="2914" xr:uid="{00000000-0005-0000-0000-0000E0050000}"/>
    <cellStyle name="40% - Accent4 2 4 2 2" xfId="7137" xr:uid="{00000000-0005-0000-0000-0000E1050000}"/>
    <cellStyle name="40% - Accent4 2 4 2 2 2" xfId="15579" xr:uid="{9E88BD9D-7913-4A4E-83CE-A251E9C1FA7C}"/>
    <cellStyle name="40% - Accent4 2 4 2 3" xfId="11361" xr:uid="{282F9ACF-AA13-4919-AB3C-5A62FD52DD39}"/>
    <cellStyle name="40% - Accent4 2 4 3" xfId="4992" xr:uid="{00000000-0005-0000-0000-0000E2050000}"/>
    <cellStyle name="40% - Accent4 2 4 3 2" xfId="13434" xr:uid="{FEBC8951-BCBD-4DFC-8057-E61CF1D313A9}"/>
    <cellStyle name="40% - Accent4 2 4 4" xfId="9216" xr:uid="{BE84A4D3-28CB-4BE4-965A-1764FFFF8A72}"/>
    <cellStyle name="40% - Accent4 2 5" xfId="1096" xr:uid="{00000000-0005-0000-0000-0000E3050000}"/>
    <cellStyle name="40% - Accent4 2 5 2" xfId="3327" xr:uid="{00000000-0005-0000-0000-0000E4050000}"/>
    <cellStyle name="40% - Accent4 2 5 2 2" xfId="7550" xr:uid="{00000000-0005-0000-0000-0000E5050000}"/>
    <cellStyle name="40% - Accent4 2 5 2 2 2" xfId="15992" xr:uid="{9A8E19CF-9BD5-4045-BB5A-1E25828B2EE3}"/>
    <cellStyle name="40% - Accent4 2 5 2 3" xfId="11774" xr:uid="{6DF16A9D-81D6-4953-BA7C-30027187BC20}"/>
    <cellStyle name="40% - Accent4 2 5 3" xfId="5405" xr:uid="{00000000-0005-0000-0000-0000E6050000}"/>
    <cellStyle name="40% - Accent4 2 5 3 2" xfId="13847" xr:uid="{08FFB211-F7DE-4E15-B378-105F7F47357A}"/>
    <cellStyle name="40% - Accent4 2 5 4" xfId="9629" xr:uid="{73C19AE4-02DC-4527-B49D-FAC908B4F68D}"/>
    <cellStyle name="40% - Accent4 2 6" xfId="1510" xr:uid="{00000000-0005-0000-0000-0000E7050000}"/>
    <cellStyle name="40% - Accent4 2 6 2" xfId="3740" xr:uid="{00000000-0005-0000-0000-0000E8050000}"/>
    <cellStyle name="40% - Accent4 2 6 2 2" xfId="7963" xr:uid="{00000000-0005-0000-0000-0000E9050000}"/>
    <cellStyle name="40% - Accent4 2 6 2 2 2" xfId="16405" xr:uid="{9DA26437-1190-4D9B-B0CF-80541A799210}"/>
    <cellStyle name="40% - Accent4 2 6 2 3" xfId="12187" xr:uid="{9F73D945-EF17-4865-9DB5-BCF55B2979BA}"/>
    <cellStyle name="40% - Accent4 2 6 3" xfId="5818" xr:uid="{00000000-0005-0000-0000-0000EA050000}"/>
    <cellStyle name="40% - Accent4 2 6 3 2" xfId="14260" xr:uid="{50BF67D4-BA29-4101-B5D7-372B0E91D938}"/>
    <cellStyle name="40% - Accent4 2 6 4" xfId="10042" xr:uid="{C51A25AB-4F05-454E-8E88-B8CF20F0594D}"/>
    <cellStyle name="40% - Accent4 2 7" xfId="1924" xr:uid="{00000000-0005-0000-0000-0000EB050000}"/>
    <cellStyle name="40% - Accent4 2 7 2" xfId="4153" xr:uid="{00000000-0005-0000-0000-0000EC050000}"/>
    <cellStyle name="40% - Accent4 2 7 2 2" xfId="8376" xr:uid="{00000000-0005-0000-0000-0000ED050000}"/>
    <cellStyle name="40% - Accent4 2 7 2 2 2" xfId="16818" xr:uid="{F0FED804-68C4-45EE-A850-8C16077EECC9}"/>
    <cellStyle name="40% - Accent4 2 7 2 3" xfId="12600" xr:uid="{224D148C-7981-47FA-AD1E-C4D542FEE125}"/>
    <cellStyle name="40% - Accent4 2 7 3" xfId="6231" xr:uid="{00000000-0005-0000-0000-0000EE050000}"/>
    <cellStyle name="40% - Accent4 2 7 3 2" xfId="14673" xr:uid="{109643F9-4130-42BF-BE20-144C361A92B6}"/>
    <cellStyle name="40% - Accent4 2 7 4" xfId="10455" xr:uid="{15BA6DD5-7C15-461F-9814-B866DD942B73}"/>
    <cellStyle name="40% - Accent4 2 8" xfId="2337" xr:uid="{00000000-0005-0000-0000-0000EF050000}"/>
    <cellStyle name="40% - Accent4 2 8 2" xfId="6644" xr:uid="{00000000-0005-0000-0000-0000F0050000}"/>
    <cellStyle name="40% - Accent4 2 8 2 2" xfId="15086" xr:uid="{A0A7AFA7-B8D2-4898-B388-E1A42E893D78}"/>
    <cellStyle name="40% - Accent4 2 8 3" xfId="10868" xr:uid="{BBFB14D2-BE34-4D96-972C-BE83744DB787}"/>
    <cellStyle name="40% - Accent4 2 9" xfId="4578" xr:uid="{00000000-0005-0000-0000-0000F1050000}"/>
    <cellStyle name="40% - Accent4 2 9 2" xfId="13020" xr:uid="{A28BBB66-7195-4932-A0C5-417F76251E46}"/>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2 2 2" xfId="15584" xr:uid="{675C5984-F139-4AB1-98B3-DF6EB5C2A0F7}"/>
    <cellStyle name="40% - Accent4 3 2 2 2 3" xfId="11366" xr:uid="{56191D2A-0F01-4BB7-B694-002F551993F7}"/>
    <cellStyle name="40% - Accent4 3 2 2 3" xfId="4997" xr:uid="{00000000-0005-0000-0000-0000F7050000}"/>
    <cellStyle name="40% - Accent4 3 2 2 3 2" xfId="13439" xr:uid="{BB085043-7858-4852-82C9-026352CD79F3}"/>
    <cellStyle name="40% - Accent4 3 2 2 4" xfId="9221" xr:uid="{C9CA0380-423F-42FC-8704-12C09D544BE7}"/>
    <cellStyle name="40% - Accent4 3 2 3" xfId="1101" xr:uid="{00000000-0005-0000-0000-0000F8050000}"/>
    <cellStyle name="40% - Accent4 3 2 3 2" xfId="3332" xr:uid="{00000000-0005-0000-0000-0000F9050000}"/>
    <cellStyle name="40% - Accent4 3 2 3 2 2" xfId="7555" xr:uid="{00000000-0005-0000-0000-0000FA050000}"/>
    <cellStyle name="40% - Accent4 3 2 3 2 2 2" xfId="15997" xr:uid="{74349D7F-3441-4FD1-B2C2-BA9F23404B97}"/>
    <cellStyle name="40% - Accent4 3 2 3 2 3" xfId="11779" xr:uid="{525D4ED7-1244-433B-9599-F16190BD6BF7}"/>
    <cellStyle name="40% - Accent4 3 2 3 3" xfId="5410" xr:uid="{00000000-0005-0000-0000-0000FB050000}"/>
    <cellStyle name="40% - Accent4 3 2 3 3 2" xfId="13852" xr:uid="{845F2F6E-5FB8-4D84-A57C-BFFEA6803C4E}"/>
    <cellStyle name="40% - Accent4 3 2 3 4" xfId="9634" xr:uid="{EA530C27-3936-4887-B9DE-783677F6B317}"/>
    <cellStyle name="40% - Accent4 3 2 4" xfId="1515" xr:uid="{00000000-0005-0000-0000-0000FC050000}"/>
    <cellStyle name="40% - Accent4 3 2 4 2" xfId="3745" xr:uid="{00000000-0005-0000-0000-0000FD050000}"/>
    <cellStyle name="40% - Accent4 3 2 4 2 2" xfId="7968" xr:uid="{00000000-0005-0000-0000-0000FE050000}"/>
    <cellStyle name="40% - Accent4 3 2 4 2 2 2" xfId="16410" xr:uid="{9FE03707-ED68-42FD-B854-F10220C85D90}"/>
    <cellStyle name="40% - Accent4 3 2 4 2 3" xfId="12192" xr:uid="{C3A62073-1A14-4F68-835D-6166A2CE2EF5}"/>
    <cellStyle name="40% - Accent4 3 2 4 3" xfId="5823" xr:uid="{00000000-0005-0000-0000-0000FF050000}"/>
    <cellStyle name="40% - Accent4 3 2 4 3 2" xfId="14265" xr:uid="{DD20C9FC-7AF7-4E06-AD2D-300EB5DA8636}"/>
    <cellStyle name="40% - Accent4 3 2 4 4" xfId="10047" xr:uid="{CA5D2667-53BC-4471-8B80-53F3440A6259}"/>
    <cellStyle name="40% - Accent4 3 2 5" xfId="1929" xr:uid="{00000000-0005-0000-0000-000000060000}"/>
    <cellStyle name="40% - Accent4 3 2 5 2" xfId="4158" xr:uid="{00000000-0005-0000-0000-000001060000}"/>
    <cellStyle name="40% - Accent4 3 2 5 2 2" xfId="8381" xr:uid="{00000000-0005-0000-0000-000002060000}"/>
    <cellStyle name="40% - Accent4 3 2 5 2 2 2" xfId="16823" xr:uid="{7448A884-EE41-4E0F-BD61-298BD1FD5B00}"/>
    <cellStyle name="40% - Accent4 3 2 5 2 3" xfId="12605" xr:uid="{46B7ACA2-7172-4313-99E1-9A37726E099D}"/>
    <cellStyle name="40% - Accent4 3 2 5 3" xfId="6236" xr:uid="{00000000-0005-0000-0000-000003060000}"/>
    <cellStyle name="40% - Accent4 3 2 5 3 2" xfId="14678" xr:uid="{0C0CCBE0-2536-489B-84D3-A5D841779246}"/>
    <cellStyle name="40% - Accent4 3 2 5 4" xfId="10460" xr:uid="{F21FC79B-6857-489A-B0F2-646FEB8AC0BD}"/>
    <cellStyle name="40% - Accent4 3 2 6" xfId="2342" xr:uid="{00000000-0005-0000-0000-000004060000}"/>
    <cellStyle name="40% - Accent4 3 2 6 2" xfId="6649" xr:uid="{00000000-0005-0000-0000-000005060000}"/>
    <cellStyle name="40% - Accent4 3 2 6 2 2" xfId="15091" xr:uid="{B1AB08B5-1EFF-4504-80C1-FE82E133AF0E}"/>
    <cellStyle name="40% - Accent4 3 2 6 3" xfId="10873" xr:uid="{F9EBBBC4-62C0-4450-9BA8-48A29ACBDE87}"/>
    <cellStyle name="40% - Accent4 3 2 7" xfId="4583" xr:uid="{00000000-0005-0000-0000-000006060000}"/>
    <cellStyle name="40% - Accent4 3 2 7 2" xfId="13025" xr:uid="{6AB22C33-84BB-48F9-8776-92B5D05640CB}"/>
    <cellStyle name="40% - Accent4 3 2 8" xfId="8807" xr:uid="{8E1EF448-5699-4B2F-B6E3-652EB9D45888}"/>
    <cellStyle name="40% - Accent4 3 3" xfId="647" xr:uid="{00000000-0005-0000-0000-000007060000}"/>
    <cellStyle name="40% - Accent4 3 3 2" xfId="2918" xr:uid="{00000000-0005-0000-0000-000008060000}"/>
    <cellStyle name="40% - Accent4 3 3 2 2" xfId="7141" xr:uid="{00000000-0005-0000-0000-000009060000}"/>
    <cellStyle name="40% - Accent4 3 3 2 2 2" xfId="15583" xr:uid="{27DE2991-727C-4256-AD65-079B3E982F7A}"/>
    <cellStyle name="40% - Accent4 3 3 2 3" xfId="11365" xr:uid="{335237DE-1295-417F-AE1B-839020AF1490}"/>
    <cellStyle name="40% - Accent4 3 3 3" xfId="4996" xr:uid="{00000000-0005-0000-0000-00000A060000}"/>
    <cellStyle name="40% - Accent4 3 3 3 2" xfId="13438" xr:uid="{11DA58A5-C876-4819-AC45-DA32569B219F}"/>
    <cellStyle name="40% - Accent4 3 3 4" xfId="9220" xr:uid="{1450C405-6392-41C8-8B83-D1FDDF382D7A}"/>
    <cellStyle name="40% - Accent4 3 4" xfId="1100" xr:uid="{00000000-0005-0000-0000-00000B060000}"/>
    <cellStyle name="40% - Accent4 3 4 2" xfId="3331" xr:uid="{00000000-0005-0000-0000-00000C060000}"/>
    <cellStyle name="40% - Accent4 3 4 2 2" xfId="7554" xr:uid="{00000000-0005-0000-0000-00000D060000}"/>
    <cellStyle name="40% - Accent4 3 4 2 2 2" xfId="15996" xr:uid="{98FA469D-7345-42DF-9219-CB7089FD7BF3}"/>
    <cellStyle name="40% - Accent4 3 4 2 3" xfId="11778" xr:uid="{9D834893-B48E-4D8C-8DB6-A9DF057E9C42}"/>
    <cellStyle name="40% - Accent4 3 4 3" xfId="5409" xr:uid="{00000000-0005-0000-0000-00000E060000}"/>
    <cellStyle name="40% - Accent4 3 4 3 2" xfId="13851" xr:uid="{DA43FE75-759E-4ED2-B67B-807868184BBE}"/>
    <cellStyle name="40% - Accent4 3 4 4" xfId="9633" xr:uid="{0F3B82F4-C76D-4E4B-8700-9D69187596BD}"/>
    <cellStyle name="40% - Accent4 3 5" xfId="1514" xr:uid="{00000000-0005-0000-0000-00000F060000}"/>
    <cellStyle name="40% - Accent4 3 5 2" xfId="3744" xr:uid="{00000000-0005-0000-0000-000010060000}"/>
    <cellStyle name="40% - Accent4 3 5 2 2" xfId="7967" xr:uid="{00000000-0005-0000-0000-000011060000}"/>
    <cellStyle name="40% - Accent4 3 5 2 2 2" xfId="16409" xr:uid="{67B8F029-508C-4C21-B4C0-1A3DD43C5068}"/>
    <cellStyle name="40% - Accent4 3 5 2 3" xfId="12191" xr:uid="{FA5140E2-10C2-4B0E-B3CE-C5FF179C9F97}"/>
    <cellStyle name="40% - Accent4 3 5 3" xfId="5822" xr:uid="{00000000-0005-0000-0000-000012060000}"/>
    <cellStyle name="40% - Accent4 3 5 3 2" xfId="14264" xr:uid="{68256722-BAD0-4E87-ACE7-7A42CD71B583}"/>
    <cellStyle name="40% - Accent4 3 5 4" xfId="10046" xr:uid="{9BCC7F60-5CC1-4105-A8CF-DB5C64DC416D}"/>
    <cellStyle name="40% - Accent4 3 6" xfId="1928" xr:uid="{00000000-0005-0000-0000-000013060000}"/>
    <cellStyle name="40% - Accent4 3 6 2" xfId="4157" xr:uid="{00000000-0005-0000-0000-000014060000}"/>
    <cellStyle name="40% - Accent4 3 6 2 2" xfId="8380" xr:uid="{00000000-0005-0000-0000-000015060000}"/>
    <cellStyle name="40% - Accent4 3 6 2 2 2" xfId="16822" xr:uid="{B09C160E-09C9-4008-B420-28C9A924544B}"/>
    <cellStyle name="40% - Accent4 3 6 2 3" xfId="12604" xr:uid="{035DF660-A46D-4191-B148-0EBD97C4B547}"/>
    <cellStyle name="40% - Accent4 3 6 3" xfId="6235" xr:uid="{00000000-0005-0000-0000-000016060000}"/>
    <cellStyle name="40% - Accent4 3 6 3 2" xfId="14677" xr:uid="{D0D7617A-241E-4F2D-A242-C2671BC6EAAB}"/>
    <cellStyle name="40% - Accent4 3 6 4" xfId="10459" xr:uid="{63C2A329-CE6E-4D34-A762-970E4F06D1A5}"/>
    <cellStyle name="40% - Accent4 3 7" xfId="2341" xr:uid="{00000000-0005-0000-0000-000017060000}"/>
    <cellStyle name="40% - Accent4 3 7 2" xfId="6648" xr:uid="{00000000-0005-0000-0000-000018060000}"/>
    <cellStyle name="40% - Accent4 3 7 2 2" xfId="15090" xr:uid="{37F5913A-B04F-480B-8382-28BBCB213CE5}"/>
    <cellStyle name="40% - Accent4 3 7 3" xfId="10872" xr:uid="{CAE8842F-DCBB-4A87-80DA-E70502700CC8}"/>
    <cellStyle name="40% - Accent4 3 8" xfId="4582" xr:uid="{00000000-0005-0000-0000-000019060000}"/>
    <cellStyle name="40% - Accent4 3 8 2" xfId="13024" xr:uid="{1076A3C9-79E0-4CA3-97F1-500035D479B5}"/>
    <cellStyle name="40% - Accent4 3 9" xfId="8806" xr:uid="{7B7707AD-B779-4AA5-B1EE-8837BDA178CD}"/>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2 2 2" xfId="15585" xr:uid="{39654A90-233E-49DE-B741-B8FEFB0EC44C}"/>
    <cellStyle name="40% - Accent4 4 2 2 3" xfId="11367" xr:uid="{1C844E92-FBBA-4F7B-8CA4-6047CB557F8D}"/>
    <cellStyle name="40% - Accent4 4 2 3" xfId="4998" xr:uid="{00000000-0005-0000-0000-00001E060000}"/>
    <cellStyle name="40% - Accent4 4 2 3 2" xfId="13440" xr:uid="{63959A5A-252B-4989-8BFD-7A9549487CAE}"/>
    <cellStyle name="40% - Accent4 4 2 4" xfId="9222" xr:uid="{1AA4390B-DC76-4E6F-90B0-A45DFF0A4A3E}"/>
    <cellStyle name="40% - Accent4 4 3" xfId="1102" xr:uid="{00000000-0005-0000-0000-00001F060000}"/>
    <cellStyle name="40% - Accent4 4 3 2" xfId="3333" xr:uid="{00000000-0005-0000-0000-000020060000}"/>
    <cellStyle name="40% - Accent4 4 3 2 2" xfId="7556" xr:uid="{00000000-0005-0000-0000-000021060000}"/>
    <cellStyle name="40% - Accent4 4 3 2 2 2" xfId="15998" xr:uid="{47D397D3-A18D-42F1-94BE-EE7CFB9036F5}"/>
    <cellStyle name="40% - Accent4 4 3 2 3" xfId="11780" xr:uid="{4744D4FB-CB93-4FF9-BB80-46411DD13C89}"/>
    <cellStyle name="40% - Accent4 4 3 3" xfId="5411" xr:uid="{00000000-0005-0000-0000-000022060000}"/>
    <cellStyle name="40% - Accent4 4 3 3 2" xfId="13853" xr:uid="{C3677F9B-0E9E-4699-A31A-77E34615A0DE}"/>
    <cellStyle name="40% - Accent4 4 3 4" xfId="9635" xr:uid="{68A79225-B2C3-41A0-A520-B34A5E403C12}"/>
    <cellStyle name="40% - Accent4 4 4" xfId="1516" xr:uid="{00000000-0005-0000-0000-000023060000}"/>
    <cellStyle name="40% - Accent4 4 4 2" xfId="3746" xr:uid="{00000000-0005-0000-0000-000024060000}"/>
    <cellStyle name="40% - Accent4 4 4 2 2" xfId="7969" xr:uid="{00000000-0005-0000-0000-000025060000}"/>
    <cellStyle name="40% - Accent4 4 4 2 2 2" xfId="16411" xr:uid="{33039464-3576-4E2D-A5AD-5F571F7C9288}"/>
    <cellStyle name="40% - Accent4 4 4 2 3" xfId="12193" xr:uid="{5BFBA58F-0F82-48B0-838F-90B2319EA43B}"/>
    <cellStyle name="40% - Accent4 4 4 3" xfId="5824" xr:uid="{00000000-0005-0000-0000-000026060000}"/>
    <cellStyle name="40% - Accent4 4 4 3 2" xfId="14266" xr:uid="{B5A012D6-3731-46D5-811A-1B8F9656D37D}"/>
    <cellStyle name="40% - Accent4 4 4 4" xfId="10048" xr:uid="{5077A110-A914-4A92-A0EB-270886DB0F5D}"/>
    <cellStyle name="40% - Accent4 4 5" xfId="1930" xr:uid="{00000000-0005-0000-0000-000027060000}"/>
    <cellStyle name="40% - Accent4 4 5 2" xfId="4159" xr:uid="{00000000-0005-0000-0000-000028060000}"/>
    <cellStyle name="40% - Accent4 4 5 2 2" xfId="8382" xr:uid="{00000000-0005-0000-0000-000029060000}"/>
    <cellStyle name="40% - Accent4 4 5 2 2 2" xfId="16824" xr:uid="{22285B9E-5110-4B5F-AB3F-C63518100BA8}"/>
    <cellStyle name="40% - Accent4 4 5 2 3" xfId="12606" xr:uid="{7D81D90B-A6EA-4AAB-8845-1A34255483EC}"/>
    <cellStyle name="40% - Accent4 4 5 3" xfId="6237" xr:uid="{00000000-0005-0000-0000-00002A060000}"/>
    <cellStyle name="40% - Accent4 4 5 3 2" xfId="14679" xr:uid="{1E77D10B-B0D5-4611-A27D-EDD99CC28301}"/>
    <cellStyle name="40% - Accent4 4 5 4" xfId="10461" xr:uid="{21E6909A-5221-4A40-8973-DE41BD1BE99C}"/>
    <cellStyle name="40% - Accent4 4 6" xfId="2343" xr:uid="{00000000-0005-0000-0000-00002B060000}"/>
    <cellStyle name="40% - Accent4 4 6 2" xfId="6650" xr:uid="{00000000-0005-0000-0000-00002C060000}"/>
    <cellStyle name="40% - Accent4 4 6 2 2" xfId="15092" xr:uid="{F5407378-CC09-48BB-A175-1408B5588853}"/>
    <cellStyle name="40% - Accent4 4 6 3" xfId="10874" xr:uid="{CE0290B2-362A-4AA7-B72D-FA6C69D99EC0}"/>
    <cellStyle name="40% - Accent4 4 7" xfId="4584" xr:uid="{00000000-0005-0000-0000-00002D060000}"/>
    <cellStyle name="40% - Accent4 4 7 2" xfId="13026" xr:uid="{5496B8F8-DD5C-4D70-9F05-9880C10612EE}"/>
    <cellStyle name="40% - Accent4 4 8" xfId="8808" xr:uid="{C97DCD5A-0552-436F-BB9C-9634EF92F046}"/>
    <cellStyle name="40% - Accent4 5" xfId="642" xr:uid="{00000000-0005-0000-0000-00002E060000}"/>
    <cellStyle name="40% - Accent4 5 2" xfId="2913" xr:uid="{00000000-0005-0000-0000-00002F060000}"/>
    <cellStyle name="40% - Accent4 5 2 2" xfId="7136" xr:uid="{00000000-0005-0000-0000-000030060000}"/>
    <cellStyle name="40% - Accent4 5 2 2 2" xfId="15578" xr:uid="{6D7229B5-494D-4705-B23B-EF5A589234CB}"/>
    <cellStyle name="40% - Accent4 5 2 3" xfId="11360" xr:uid="{EC86A819-7332-445F-BA96-0F43666C135F}"/>
    <cellStyle name="40% - Accent4 5 3" xfId="4991" xr:uid="{00000000-0005-0000-0000-000031060000}"/>
    <cellStyle name="40% - Accent4 5 3 2" xfId="13433" xr:uid="{15AFEBD8-EFED-4D54-8B5E-DE7492A92A22}"/>
    <cellStyle name="40% - Accent4 5 4" xfId="9215" xr:uid="{7220A4B3-4DFF-4396-A7DA-011BDF2AB8CD}"/>
    <cellStyle name="40% - Accent4 6" xfId="1095" xr:uid="{00000000-0005-0000-0000-000032060000}"/>
    <cellStyle name="40% - Accent4 6 2" xfId="3326" xr:uid="{00000000-0005-0000-0000-000033060000}"/>
    <cellStyle name="40% - Accent4 6 2 2" xfId="7549" xr:uid="{00000000-0005-0000-0000-000034060000}"/>
    <cellStyle name="40% - Accent4 6 2 2 2" xfId="15991" xr:uid="{11CF9D93-043D-486D-B551-B69A6F87FDD0}"/>
    <cellStyle name="40% - Accent4 6 2 3" xfId="11773" xr:uid="{551EB389-FF57-4982-BC1B-BF45275507F1}"/>
    <cellStyle name="40% - Accent4 6 3" xfId="5404" xr:uid="{00000000-0005-0000-0000-000035060000}"/>
    <cellStyle name="40% - Accent4 6 3 2" xfId="13846" xr:uid="{58D167BF-49C0-4A91-B05C-825D129468D3}"/>
    <cellStyle name="40% - Accent4 6 4" xfId="9628" xr:uid="{98464CF3-ADFA-4872-AC59-7C9D50733225}"/>
    <cellStyle name="40% - Accent4 7" xfId="1509" xr:uid="{00000000-0005-0000-0000-000036060000}"/>
    <cellStyle name="40% - Accent4 7 2" xfId="3739" xr:uid="{00000000-0005-0000-0000-000037060000}"/>
    <cellStyle name="40% - Accent4 7 2 2" xfId="7962" xr:uid="{00000000-0005-0000-0000-000038060000}"/>
    <cellStyle name="40% - Accent4 7 2 2 2" xfId="16404" xr:uid="{6BD86CFD-1B7B-4157-9FBB-8597DE15E23E}"/>
    <cellStyle name="40% - Accent4 7 2 3" xfId="12186" xr:uid="{F0F271B4-4717-458D-BB39-74A436F11279}"/>
    <cellStyle name="40% - Accent4 7 3" xfId="5817" xr:uid="{00000000-0005-0000-0000-000039060000}"/>
    <cellStyle name="40% - Accent4 7 3 2" xfId="14259" xr:uid="{DC6C260E-5182-4177-ABC1-CEB5AF4605DA}"/>
    <cellStyle name="40% - Accent4 7 4" xfId="10041" xr:uid="{52E73973-A312-46BC-B836-04202DBDEBD6}"/>
    <cellStyle name="40% - Accent4 8" xfId="1923" xr:uid="{00000000-0005-0000-0000-00003A060000}"/>
    <cellStyle name="40% - Accent4 8 2" xfId="4152" xr:uid="{00000000-0005-0000-0000-00003B060000}"/>
    <cellStyle name="40% - Accent4 8 2 2" xfId="8375" xr:uid="{00000000-0005-0000-0000-00003C060000}"/>
    <cellStyle name="40% - Accent4 8 2 2 2" xfId="16817" xr:uid="{D403CC0B-88B7-4BBA-8DC9-DD2F93A732E5}"/>
    <cellStyle name="40% - Accent4 8 2 3" xfId="12599" xr:uid="{FA02C2CE-15C4-410A-902A-97C95D36AE4A}"/>
    <cellStyle name="40% - Accent4 8 3" xfId="6230" xr:uid="{00000000-0005-0000-0000-00003D060000}"/>
    <cellStyle name="40% - Accent4 8 3 2" xfId="14672" xr:uid="{3C7FC218-70CA-4353-A615-2714EDD08C77}"/>
    <cellStyle name="40% - Accent4 8 4" xfId="10454" xr:uid="{758792EE-6AB6-4BB0-9EEE-DD6A445B8E6F}"/>
    <cellStyle name="40% - Accent4 9" xfId="2336" xr:uid="{00000000-0005-0000-0000-00003E060000}"/>
    <cellStyle name="40% - Accent4 9 2" xfId="6643" xr:uid="{00000000-0005-0000-0000-00003F060000}"/>
    <cellStyle name="40% - Accent4 9 2 2" xfId="15085" xr:uid="{1BD9E9E5-4C9D-4711-8CDF-B6F71F1DBFFE}"/>
    <cellStyle name="40% - Accent4 9 3" xfId="10867" xr:uid="{3E6EE99B-5FD9-4678-9680-264E8CBD09DF}"/>
    <cellStyle name="40% - Accent5" xfId="81" builtinId="47" customBuiltin="1"/>
    <cellStyle name="40% - Accent5 10" xfId="4585" xr:uid="{00000000-0005-0000-0000-000041060000}"/>
    <cellStyle name="40% - Accent5 10 2" xfId="13027" xr:uid="{F244306E-4E96-46F7-894E-9EE830E7EA02}"/>
    <cellStyle name="40% - Accent5 11" xfId="8809" xr:uid="{0410B71C-215C-4B54-8CE8-9ABB1C71A2A4}"/>
    <cellStyle name="40% - Accent5 2" xfId="82" xr:uid="{00000000-0005-0000-0000-000042060000}"/>
    <cellStyle name="40% - Accent5 2 10" xfId="8810" xr:uid="{33FBAB8D-2A34-4432-906F-60EABD7ADA48}"/>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2 2 2" xfId="15589" xr:uid="{3BD423AF-123D-45B0-9787-C0F465CA11A2}"/>
    <cellStyle name="40% - Accent5 2 2 2 2 2 3" xfId="11371" xr:uid="{4480D19F-9ACF-45E7-9B94-C1B0D28CA7BE}"/>
    <cellStyle name="40% - Accent5 2 2 2 2 3" xfId="5002" xr:uid="{00000000-0005-0000-0000-000048060000}"/>
    <cellStyle name="40% - Accent5 2 2 2 2 3 2" xfId="13444" xr:uid="{FDCB947A-0340-460C-B3EA-B80F5463375C}"/>
    <cellStyle name="40% - Accent5 2 2 2 2 4" xfId="9226" xr:uid="{BBA654A3-A24E-48CB-A732-87D53F4930CC}"/>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2 2 2" xfId="16002" xr:uid="{F6A87701-FD85-43C7-B30B-B7D1B1131C60}"/>
    <cellStyle name="40% - Accent5 2 2 2 3 2 3" xfId="11784" xr:uid="{C722CC17-3E01-47A2-B53D-A1B9BD6C2168}"/>
    <cellStyle name="40% - Accent5 2 2 2 3 3" xfId="5415" xr:uid="{00000000-0005-0000-0000-00004C060000}"/>
    <cellStyle name="40% - Accent5 2 2 2 3 3 2" xfId="13857" xr:uid="{D825D999-C574-40DD-AE71-AFFB7280C220}"/>
    <cellStyle name="40% - Accent5 2 2 2 3 4" xfId="9639" xr:uid="{B4EF5B3C-1153-464D-8083-3502AEC406FC}"/>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2 2 2" xfId="16415" xr:uid="{2A48B320-0636-4233-900D-BC7AAF9B04F8}"/>
    <cellStyle name="40% - Accent5 2 2 2 4 2 3" xfId="12197" xr:uid="{66A98DD3-D409-46F5-8D7B-73A983100054}"/>
    <cellStyle name="40% - Accent5 2 2 2 4 3" xfId="5828" xr:uid="{00000000-0005-0000-0000-000050060000}"/>
    <cellStyle name="40% - Accent5 2 2 2 4 3 2" xfId="14270" xr:uid="{C27EB2AD-608B-4D67-81DD-FF4EA96ED200}"/>
    <cellStyle name="40% - Accent5 2 2 2 4 4" xfId="10052" xr:uid="{A4C797C4-1AF1-42C0-80CB-0962C9C29ABD}"/>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2 2 2" xfId="16828" xr:uid="{2A2B5365-9F59-4842-81D1-83E529A02F75}"/>
    <cellStyle name="40% - Accent5 2 2 2 5 2 3" xfId="12610" xr:uid="{966AEBB0-FB4E-45B4-94BA-3987158CB2E3}"/>
    <cellStyle name="40% - Accent5 2 2 2 5 3" xfId="6241" xr:uid="{00000000-0005-0000-0000-000054060000}"/>
    <cellStyle name="40% - Accent5 2 2 2 5 3 2" xfId="14683" xr:uid="{33C6629D-92CA-44B2-84FD-2AA63BA6143F}"/>
    <cellStyle name="40% - Accent5 2 2 2 5 4" xfId="10465" xr:uid="{C2C7AA63-660C-486D-82B1-4C1D3841371F}"/>
    <cellStyle name="40% - Accent5 2 2 2 6" xfId="2347" xr:uid="{00000000-0005-0000-0000-000055060000}"/>
    <cellStyle name="40% - Accent5 2 2 2 6 2" xfId="6654" xr:uid="{00000000-0005-0000-0000-000056060000}"/>
    <cellStyle name="40% - Accent5 2 2 2 6 2 2" xfId="15096" xr:uid="{8629D6F5-75F8-478A-86A1-6AE6CE92961D}"/>
    <cellStyle name="40% - Accent5 2 2 2 6 3" xfId="10878" xr:uid="{5B001B68-1F68-4C8A-887C-2258F664542C}"/>
    <cellStyle name="40% - Accent5 2 2 2 7" xfId="4588" xr:uid="{00000000-0005-0000-0000-000057060000}"/>
    <cellStyle name="40% - Accent5 2 2 2 7 2" xfId="13030" xr:uid="{3C5753BB-F0F8-40C5-B52E-86776AD9202C}"/>
    <cellStyle name="40% - Accent5 2 2 2 8" xfId="8812" xr:uid="{8CBD49A9-417F-42BB-8BD6-21356A28B939}"/>
    <cellStyle name="40% - Accent5 2 2 3" xfId="652" xr:uid="{00000000-0005-0000-0000-000058060000}"/>
    <cellStyle name="40% - Accent5 2 2 3 2" xfId="2923" xr:uid="{00000000-0005-0000-0000-000059060000}"/>
    <cellStyle name="40% - Accent5 2 2 3 2 2" xfId="7146" xr:uid="{00000000-0005-0000-0000-00005A060000}"/>
    <cellStyle name="40% - Accent5 2 2 3 2 2 2" xfId="15588" xr:uid="{8A232697-4527-4F42-AB98-CE8D416890A5}"/>
    <cellStyle name="40% - Accent5 2 2 3 2 3" xfId="11370" xr:uid="{E8981DBA-F14E-4F45-975B-C4E6B16E341F}"/>
    <cellStyle name="40% - Accent5 2 2 3 3" xfId="5001" xr:uid="{00000000-0005-0000-0000-00005B060000}"/>
    <cellStyle name="40% - Accent5 2 2 3 3 2" xfId="13443" xr:uid="{5F044810-DA98-448F-AE0F-935D9AC379ED}"/>
    <cellStyle name="40% - Accent5 2 2 3 4" xfId="9225" xr:uid="{752BBF97-1655-488A-8955-FE49F9240382}"/>
    <cellStyle name="40% - Accent5 2 2 4" xfId="1105" xr:uid="{00000000-0005-0000-0000-00005C060000}"/>
    <cellStyle name="40% - Accent5 2 2 4 2" xfId="3336" xr:uid="{00000000-0005-0000-0000-00005D060000}"/>
    <cellStyle name="40% - Accent5 2 2 4 2 2" xfId="7559" xr:uid="{00000000-0005-0000-0000-00005E060000}"/>
    <cellStyle name="40% - Accent5 2 2 4 2 2 2" xfId="16001" xr:uid="{ACA35B90-D55C-47D0-844D-28002CF6583B}"/>
    <cellStyle name="40% - Accent5 2 2 4 2 3" xfId="11783" xr:uid="{C45F6EB6-6C4F-4922-A065-D4862ECE4BE2}"/>
    <cellStyle name="40% - Accent5 2 2 4 3" xfId="5414" xr:uid="{00000000-0005-0000-0000-00005F060000}"/>
    <cellStyle name="40% - Accent5 2 2 4 3 2" xfId="13856" xr:uid="{C8A00E71-F382-4544-B425-8497AFBDBB87}"/>
    <cellStyle name="40% - Accent5 2 2 4 4" xfId="9638" xr:uid="{A2DBC795-7B7A-4F33-A804-027FBDE03C1E}"/>
    <cellStyle name="40% - Accent5 2 2 5" xfId="1519" xr:uid="{00000000-0005-0000-0000-000060060000}"/>
    <cellStyle name="40% - Accent5 2 2 5 2" xfId="3749" xr:uid="{00000000-0005-0000-0000-000061060000}"/>
    <cellStyle name="40% - Accent5 2 2 5 2 2" xfId="7972" xr:uid="{00000000-0005-0000-0000-000062060000}"/>
    <cellStyle name="40% - Accent5 2 2 5 2 2 2" xfId="16414" xr:uid="{3787820C-86FF-4687-AAE4-F1E3455FC106}"/>
    <cellStyle name="40% - Accent5 2 2 5 2 3" xfId="12196" xr:uid="{2FC541D3-2E72-4096-B01E-40F7B33D8E31}"/>
    <cellStyle name="40% - Accent5 2 2 5 3" xfId="5827" xr:uid="{00000000-0005-0000-0000-000063060000}"/>
    <cellStyle name="40% - Accent5 2 2 5 3 2" xfId="14269" xr:uid="{AFF90C3C-F4AA-46DE-86A1-67D3BFE879C8}"/>
    <cellStyle name="40% - Accent5 2 2 5 4" xfId="10051" xr:uid="{9B78E7DE-F796-4EEA-9967-ED8C8BB8B0E6}"/>
    <cellStyle name="40% - Accent5 2 2 6" xfId="1933" xr:uid="{00000000-0005-0000-0000-000064060000}"/>
    <cellStyle name="40% - Accent5 2 2 6 2" xfId="4162" xr:uid="{00000000-0005-0000-0000-000065060000}"/>
    <cellStyle name="40% - Accent5 2 2 6 2 2" xfId="8385" xr:uid="{00000000-0005-0000-0000-000066060000}"/>
    <cellStyle name="40% - Accent5 2 2 6 2 2 2" xfId="16827" xr:uid="{D0323D75-55B3-43E0-B0BA-6822620F895E}"/>
    <cellStyle name="40% - Accent5 2 2 6 2 3" xfId="12609" xr:uid="{DD652428-26C5-44F4-B8BA-E9D33BDA6DEB}"/>
    <cellStyle name="40% - Accent5 2 2 6 3" xfId="6240" xr:uid="{00000000-0005-0000-0000-000067060000}"/>
    <cellStyle name="40% - Accent5 2 2 6 3 2" xfId="14682" xr:uid="{510EAB76-667F-4AD2-BE63-433D9C9662D7}"/>
    <cellStyle name="40% - Accent5 2 2 6 4" xfId="10464" xr:uid="{5B9B9085-79D1-4E40-90DE-A7D3E1C6E705}"/>
    <cellStyle name="40% - Accent5 2 2 7" xfId="2346" xr:uid="{00000000-0005-0000-0000-000068060000}"/>
    <cellStyle name="40% - Accent5 2 2 7 2" xfId="6653" xr:uid="{00000000-0005-0000-0000-000069060000}"/>
    <cellStyle name="40% - Accent5 2 2 7 2 2" xfId="15095" xr:uid="{A7FA6AD0-237D-4079-BA79-F50D10151DF0}"/>
    <cellStyle name="40% - Accent5 2 2 7 3" xfId="10877" xr:uid="{6908B233-7DC6-4879-9E1C-FD250F09AC24}"/>
    <cellStyle name="40% - Accent5 2 2 8" xfId="4587" xr:uid="{00000000-0005-0000-0000-00006A060000}"/>
    <cellStyle name="40% - Accent5 2 2 8 2" xfId="13029" xr:uid="{ED0229F9-3910-4911-B61B-C43FF38B2961}"/>
    <cellStyle name="40% - Accent5 2 2 9" xfId="8811" xr:uid="{C61BD845-CB5B-4F8D-ADC2-30CE2A577DA4}"/>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2 2 2" xfId="15590" xr:uid="{10BE0AC0-E1C9-43A0-8181-DD754855BD11}"/>
    <cellStyle name="40% - Accent5 2 3 2 2 3" xfId="11372" xr:uid="{6CA5D7B3-2033-40BF-ACF0-5C21170F012A}"/>
    <cellStyle name="40% - Accent5 2 3 2 3" xfId="5003" xr:uid="{00000000-0005-0000-0000-00006F060000}"/>
    <cellStyle name="40% - Accent5 2 3 2 3 2" xfId="13445" xr:uid="{F91C5B45-1D14-45EF-B635-3515C410BD7D}"/>
    <cellStyle name="40% - Accent5 2 3 2 4" xfId="9227" xr:uid="{49FB086B-6107-45C2-910B-6C9BC2A36C0E}"/>
    <cellStyle name="40% - Accent5 2 3 3" xfId="1107" xr:uid="{00000000-0005-0000-0000-000070060000}"/>
    <cellStyle name="40% - Accent5 2 3 3 2" xfId="3338" xr:uid="{00000000-0005-0000-0000-000071060000}"/>
    <cellStyle name="40% - Accent5 2 3 3 2 2" xfId="7561" xr:uid="{00000000-0005-0000-0000-000072060000}"/>
    <cellStyle name="40% - Accent5 2 3 3 2 2 2" xfId="16003" xr:uid="{7B688221-7C02-4272-96FB-36FEE53DFF2C}"/>
    <cellStyle name="40% - Accent5 2 3 3 2 3" xfId="11785" xr:uid="{1D553A6A-0D8C-4068-B084-B20DC6E07420}"/>
    <cellStyle name="40% - Accent5 2 3 3 3" xfId="5416" xr:uid="{00000000-0005-0000-0000-000073060000}"/>
    <cellStyle name="40% - Accent5 2 3 3 3 2" xfId="13858" xr:uid="{B3295147-4675-42D2-A0CF-AF4631647219}"/>
    <cellStyle name="40% - Accent5 2 3 3 4" xfId="9640" xr:uid="{2FF9490F-D311-43EB-9368-BCCB3D960928}"/>
    <cellStyle name="40% - Accent5 2 3 4" xfId="1521" xr:uid="{00000000-0005-0000-0000-000074060000}"/>
    <cellStyle name="40% - Accent5 2 3 4 2" xfId="3751" xr:uid="{00000000-0005-0000-0000-000075060000}"/>
    <cellStyle name="40% - Accent5 2 3 4 2 2" xfId="7974" xr:uid="{00000000-0005-0000-0000-000076060000}"/>
    <cellStyle name="40% - Accent5 2 3 4 2 2 2" xfId="16416" xr:uid="{55CED01E-AC17-4AED-B140-E34E5CC20B2A}"/>
    <cellStyle name="40% - Accent5 2 3 4 2 3" xfId="12198" xr:uid="{999CED14-2F5C-480C-AE79-5C02EC3EAD5B}"/>
    <cellStyle name="40% - Accent5 2 3 4 3" xfId="5829" xr:uid="{00000000-0005-0000-0000-000077060000}"/>
    <cellStyle name="40% - Accent5 2 3 4 3 2" xfId="14271" xr:uid="{F2A45782-DC34-4DD5-9435-B3DB82740A78}"/>
    <cellStyle name="40% - Accent5 2 3 4 4" xfId="10053" xr:uid="{B0C49DD3-1CD9-4DBB-AE02-CC989557984D}"/>
    <cellStyle name="40% - Accent5 2 3 5" xfId="1935" xr:uid="{00000000-0005-0000-0000-000078060000}"/>
    <cellStyle name="40% - Accent5 2 3 5 2" xfId="4164" xr:uid="{00000000-0005-0000-0000-000079060000}"/>
    <cellStyle name="40% - Accent5 2 3 5 2 2" xfId="8387" xr:uid="{00000000-0005-0000-0000-00007A060000}"/>
    <cellStyle name="40% - Accent5 2 3 5 2 2 2" xfId="16829" xr:uid="{72A29FFA-A856-420C-B32D-6F19BFB909C1}"/>
    <cellStyle name="40% - Accent5 2 3 5 2 3" xfId="12611" xr:uid="{FF30B0F1-32EB-450C-AD8C-4DE66D349698}"/>
    <cellStyle name="40% - Accent5 2 3 5 3" xfId="6242" xr:uid="{00000000-0005-0000-0000-00007B060000}"/>
    <cellStyle name="40% - Accent5 2 3 5 3 2" xfId="14684" xr:uid="{3BD70471-AE6D-405D-88C0-61F94926BE4F}"/>
    <cellStyle name="40% - Accent5 2 3 5 4" xfId="10466" xr:uid="{9AFE355C-5B11-4390-9197-1926BC6A0BC9}"/>
    <cellStyle name="40% - Accent5 2 3 6" xfId="2348" xr:uid="{00000000-0005-0000-0000-00007C060000}"/>
    <cellStyle name="40% - Accent5 2 3 6 2" xfId="6655" xr:uid="{00000000-0005-0000-0000-00007D060000}"/>
    <cellStyle name="40% - Accent5 2 3 6 2 2" xfId="15097" xr:uid="{31649338-F201-46FE-B280-4FDC5A11A061}"/>
    <cellStyle name="40% - Accent5 2 3 6 3" xfId="10879" xr:uid="{BBFE76A5-C2FD-46AF-9F74-D4CC4A30CC67}"/>
    <cellStyle name="40% - Accent5 2 3 7" xfId="4589" xr:uid="{00000000-0005-0000-0000-00007E060000}"/>
    <cellStyle name="40% - Accent5 2 3 7 2" xfId="13031" xr:uid="{A2EAA06C-2DCB-47EE-93E9-A5CE5124EAEC}"/>
    <cellStyle name="40% - Accent5 2 3 8" xfId="8813" xr:uid="{85F8CE2A-D417-4D7E-AC23-98EEA200243A}"/>
    <cellStyle name="40% - Accent5 2 4" xfId="651" xr:uid="{00000000-0005-0000-0000-00007F060000}"/>
    <cellStyle name="40% - Accent5 2 4 2" xfId="2922" xr:uid="{00000000-0005-0000-0000-000080060000}"/>
    <cellStyle name="40% - Accent5 2 4 2 2" xfId="7145" xr:uid="{00000000-0005-0000-0000-000081060000}"/>
    <cellStyle name="40% - Accent5 2 4 2 2 2" xfId="15587" xr:uid="{C7543D79-384A-4317-85DB-9626038F8F47}"/>
    <cellStyle name="40% - Accent5 2 4 2 3" xfId="11369" xr:uid="{699E2F78-A6D2-4AFA-A3C3-1811EA538333}"/>
    <cellStyle name="40% - Accent5 2 4 3" xfId="5000" xr:uid="{00000000-0005-0000-0000-000082060000}"/>
    <cellStyle name="40% - Accent5 2 4 3 2" xfId="13442" xr:uid="{B682DE14-8096-4AFA-991E-B9851E6A7D92}"/>
    <cellStyle name="40% - Accent5 2 4 4" xfId="9224" xr:uid="{56E6B78D-5905-4722-8888-9A390D66C247}"/>
    <cellStyle name="40% - Accent5 2 5" xfId="1104" xr:uid="{00000000-0005-0000-0000-000083060000}"/>
    <cellStyle name="40% - Accent5 2 5 2" xfId="3335" xr:uid="{00000000-0005-0000-0000-000084060000}"/>
    <cellStyle name="40% - Accent5 2 5 2 2" xfId="7558" xr:uid="{00000000-0005-0000-0000-000085060000}"/>
    <cellStyle name="40% - Accent5 2 5 2 2 2" xfId="16000" xr:uid="{760BEDC7-C9D7-4CA8-B964-84850715298F}"/>
    <cellStyle name="40% - Accent5 2 5 2 3" xfId="11782" xr:uid="{EC4AADCA-3FC4-481A-9BBE-D26BA3A35426}"/>
    <cellStyle name="40% - Accent5 2 5 3" xfId="5413" xr:uid="{00000000-0005-0000-0000-000086060000}"/>
    <cellStyle name="40% - Accent5 2 5 3 2" xfId="13855" xr:uid="{106806B3-54AF-4406-82E8-32A0AAEE3D1B}"/>
    <cellStyle name="40% - Accent5 2 5 4" xfId="9637" xr:uid="{655685F6-1066-4CB5-826A-E03D8DED5762}"/>
    <cellStyle name="40% - Accent5 2 6" xfId="1518" xr:uid="{00000000-0005-0000-0000-000087060000}"/>
    <cellStyle name="40% - Accent5 2 6 2" xfId="3748" xr:uid="{00000000-0005-0000-0000-000088060000}"/>
    <cellStyle name="40% - Accent5 2 6 2 2" xfId="7971" xr:uid="{00000000-0005-0000-0000-000089060000}"/>
    <cellStyle name="40% - Accent5 2 6 2 2 2" xfId="16413" xr:uid="{42FD6BB1-8FEB-45B1-A819-5E5CAD6FC564}"/>
    <cellStyle name="40% - Accent5 2 6 2 3" xfId="12195" xr:uid="{447F4607-A670-447A-8EBB-556D0BC98475}"/>
    <cellStyle name="40% - Accent5 2 6 3" xfId="5826" xr:uid="{00000000-0005-0000-0000-00008A060000}"/>
    <cellStyle name="40% - Accent5 2 6 3 2" xfId="14268" xr:uid="{FA3889B6-5B21-4A51-A8EC-523D019E8C60}"/>
    <cellStyle name="40% - Accent5 2 6 4" xfId="10050" xr:uid="{6EC17E79-8C00-4F14-93BA-34D708991A91}"/>
    <cellStyle name="40% - Accent5 2 7" xfId="1932" xr:uid="{00000000-0005-0000-0000-00008B060000}"/>
    <cellStyle name="40% - Accent5 2 7 2" xfId="4161" xr:uid="{00000000-0005-0000-0000-00008C060000}"/>
    <cellStyle name="40% - Accent5 2 7 2 2" xfId="8384" xr:uid="{00000000-0005-0000-0000-00008D060000}"/>
    <cellStyle name="40% - Accent5 2 7 2 2 2" xfId="16826" xr:uid="{D32800FA-94D6-47B8-B61A-7ED86C6E374E}"/>
    <cellStyle name="40% - Accent5 2 7 2 3" xfId="12608" xr:uid="{4399B770-DB9B-4FC0-A2FE-5AF80C06C96F}"/>
    <cellStyle name="40% - Accent5 2 7 3" xfId="6239" xr:uid="{00000000-0005-0000-0000-00008E060000}"/>
    <cellStyle name="40% - Accent5 2 7 3 2" xfId="14681" xr:uid="{8795C039-3F1A-4AA0-BF9B-CEEDAAFB86D6}"/>
    <cellStyle name="40% - Accent5 2 7 4" xfId="10463" xr:uid="{C869B291-957D-4CFE-98FF-850DBD871B5B}"/>
    <cellStyle name="40% - Accent5 2 8" xfId="2345" xr:uid="{00000000-0005-0000-0000-00008F060000}"/>
    <cellStyle name="40% - Accent5 2 8 2" xfId="6652" xr:uid="{00000000-0005-0000-0000-000090060000}"/>
    <cellStyle name="40% - Accent5 2 8 2 2" xfId="15094" xr:uid="{82FBD39C-A735-448C-9DDA-4824A8DDE926}"/>
    <cellStyle name="40% - Accent5 2 8 3" xfId="10876" xr:uid="{FC6E3DE7-8D05-4FD7-8C67-8FD095F8686A}"/>
    <cellStyle name="40% - Accent5 2 9" xfId="4586" xr:uid="{00000000-0005-0000-0000-000091060000}"/>
    <cellStyle name="40% - Accent5 2 9 2" xfId="13028" xr:uid="{CF33962D-827D-418C-8D6B-769B9FB3A10F}"/>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2 2 2" xfId="15592" xr:uid="{F66A4025-8A7F-4C2A-885B-898E444D8A0B}"/>
    <cellStyle name="40% - Accent5 3 2 2 2 3" xfId="11374" xr:uid="{7FC82E8F-5A60-4546-B36D-C50DE223EAD8}"/>
    <cellStyle name="40% - Accent5 3 2 2 3" xfId="5005" xr:uid="{00000000-0005-0000-0000-000097060000}"/>
    <cellStyle name="40% - Accent5 3 2 2 3 2" xfId="13447" xr:uid="{8AB1B4F9-7BFC-4D09-9F75-C33F820D7664}"/>
    <cellStyle name="40% - Accent5 3 2 2 4" xfId="9229" xr:uid="{21954C11-C2C4-460F-BAB2-34979379EDC5}"/>
    <cellStyle name="40% - Accent5 3 2 3" xfId="1109" xr:uid="{00000000-0005-0000-0000-000098060000}"/>
    <cellStyle name="40% - Accent5 3 2 3 2" xfId="3340" xr:uid="{00000000-0005-0000-0000-000099060000}"/>
    <cellStyle name="40% - Accent5 3 2 3 2 2" xfId="7563" xr:uid="{00000000-0005-0000-0000-00009A060000}"/>
    <cellStyle name="40% - Accent5 3 2 3 2 2 2" xfId="16005" xr:uid="{8308014C-5A03-47F4-9559-5811FF643770}"/>
    <cellStyle name="40% - Accent5 3 2 3 2 3" xfId="11787" xr:uid="{F4A379EB-5A7D-4924-8F21-75043AD5D51B}"/>
    <cellStyle name="40% - Accent5 3 2 3 3" xfId="5418" xr:uid="{00000000-0005-0000-0000-00009B060000}"/>
    <cellStyle name="40% - Accent5 3 2 3 3 2" xfId="13860" xr:uid="{41AFD6CA-4514-4D78-975A-07AAF2BA1F59}"/>
    <cellStyle name="40% - Accent5 3 2 3 4" xfId="9642" xr:uid="{86484EA4-EC61-4473-A2C8-04604022C146}"/>
    <cellStyle name="40% - Accent5 3 2 4" xfId="1523" xr:uid="{00000000-0005-0000-0000-00009C060000}"/>
    <cellStyle name="40% - Accent5 3 2 4 2" xfId="3753" xr:uid="{00000000-0005-0000-0000-00009D060000}"/>
    <cellStyle name="40% - Accent5 3 2 4 2 2" xfId="7976" xr:uid="{00000000-0005-0000-0000-00009E060000}"/>
    <cellStyle name="40% - Accent5 3 2 4 2 2 2" xfId="16418" xr:uid="{180747FD-FFF0-4A20-98EA-4202B5E0EE58}"/>
    <cellStyle name="40% - Accent5 3 2 4 2 3" xfId="12200" xr:uid="{C0419676-E62F-46B9-AF20-D6F7A586CCB0}"/>
    <cellStyle name="40% - Accent5 3 2 4 3" xfId="5831" xr:uid="{00000000-0005-0000-0000-00009F060000}"/>
    <cellStyle name="40% - Accent5 3 2 4 3 2" xfId="14273" xr:uid="{9EF523B9-44D9-4E81-8406-F82159BF78AD}"/>
    <cellStyle name="40% - Accent5 3 2 4 4" xfId="10055" xr:uid="{0F999621-0442-48B1-BAC6-318E2FEF740C}"/>
    <cellStyle name="40% - Accent5 3 2 5" xfId="1937" xr:uid="{00000000-0005-0000-0000-0000A0060000}"/>
    <cellStyle name="40% - Accent5 3 2 5 2" xfId="4166" xr:uid="{00000000-0005-0000-0000-0000A1060000}"/>
    <cellStyle name="40% - Accent5 3 2 5 2 2" xfId="8389" xr:uid="{00000000-0005-0000-0000-0000A2060000}"/>
    <cellStyle name="40% - Accent5 3 2 5 2 2 2" xfId="16831" xr:uid="{0D8519A7-31BB-401A-AFC3-E104A9220D3B}"/>
    <cellStyle name="40% - Accent5 3 2 5 2 3" xfId="12613" xr:uid="{A38EE0B6-FAA7-4AA6-B381-1DC375BACD32}"/>
    <cellStyle name="40% - Accent5 3 2 5 3" xfId="6244" xr:uid="{00000000-0005-0000-0000-0000A3060000}"/>
    <cellStyle name="40% - Accent5 3 2 5 3 2" xfId="14686" xr:uid="{8FAE8F83-A76D-48B8-B0EC-0D9188441B4C}"/>
    <cellStyle name="40% - Accent5 3 2 5 4" xfId="10468" xr:uid="{2E81446A-EF5B-4FC9-9C0F-3828D847B450}"/>
    <cellStyle name="40% - Accent5 3 2 6" xfId="2350" xr:uid="{00000000-0005-0000-0000-0000A4060000}"/>
    <cellStyle name="40% - Accent5 3 2 6 2" xfId="6657" xr:uid="{00000000-0005-0000-0000-0000A5060000}"/>
    <cellStyle name="40% - Accent5 3 2 6 2 2" xfId="15099" xr:uid="{2D7EE8A9-1D1C-425D-819B-6F31712F3C93}"/>
    <cellStyle name="40% - Accent5 3 2 6 3" xfId="10881" xr:uid="{4965AF49-2F8D-42A8-AEBE-068627D8413B}"/>
    <cellStyle name="40% - Accent5 3 2 7" xfId="4591" xr:uid="{00000000-0005-0000-0000-0000A6060000}"/>
    <cellStyle name="40% - Accent5 3 2 7 2" xfId="13033" xr:uid="{DF3EBD80-B96E-4D5A-8571-D15708AE68BC}"/>
    <cellStyle name="40% - Accent5 3 2 8" xfId="8815" xr:uid="{4EB9F2E3-AE62-4170-B291-E455E31A34A9}"/>
    <cellStyle name="40% - Accent5 3 3" xfId="655" xr:uid="{00000000-0005-0000-0000-0000A7060000}"/>
    <cellStyle name="40% - Accent5 3 3 2" xfId="2926" xr:uid="{00000000-0005-0000-0000-0000A8060000}"/>
    <cellStyle name="40% - Accent5 3 3 2 2" xfId="7149" xr:uid="{00000000-0005-0000-0000-0000A9060000}"/>
    <cellStyle name="40% - Accent5 3 3 2 2 2" xfId="15591" xr:uid="{F1A2E7E7-8FF3-40E7-A2A0-4BD031A2C7E0}"/>
    <cellStyle name="40% - Accent5 3 3 2 3" xfId="11373" xr:uid="{DDD01720-7697-4E26-B017-346E8768266E}"/>
    <cellStyle name="40% - Accent5 3 3 3" xfId="5004" xr:uid="{00000000-0005-0000-0000-0000AA060000}"/>
    <cellStyle name="40% - Accent5 3 3 3 2" xfId="13446" xr:uid="{329E6CAA-3A79-4800-BD5D-27BB09CD4F56}"/>
    <cellStyle name="40% - Accent5 3 3 4" xfId="9228" xr:uid="{20EDC966-B30E-492D-AB85-F335270B2044}"/>
    <cellStyle name="40% - Accent5 3 4" xfId="1108" xr:uid="{00000000-0005-0000-0000-0000AB060000}"/>
    <cellStyle name="40% - Accent5 3 4 2" xfId="3339" xr:uid="{00000000-0005-0000-0000-0000AC060000}"/>
    <cellStyle name="40% - Accent5 3 4 2 2" xfId="7562" xr:uid="{00000000-0005-0000-0000-0000AD060000}"/>
    <cellStyle name="40% - Accent5 3 4 2 2 2" xfId="16004" xr:uid="{887BD84A-0D6D-4785-AAFE-4EB6483C9712}"/>
    <cellStyle name="40% - Accent5 3 4 2 3" xfId="11786" xr:uid="{E0322AE7-82CD-4A0C-9C51-1F06148DB97E}"/>
    <cellStyle name="40% - Accent5 3 4 3" xfId="5417" xr:uid="{00000000-0005-0000-0000-0000AE060000}"/>
    <cellStyle name="40% - Accent5 3 4 3 2" xfId="13859" xr:uid="{86AF9424-B6E7-4098-985F-D0BD265FA9D2}"/>
    <cellStyle name="40% - Accent5 3 4 4" xfId="9641" xr:uid="{70572020-6B74-4557-B9D5-76309B720035}"/>
    <cellStyle name="40% - Accent5 3 5" xfId="1522" xr:uid="{00000000-0005-0000-0000-0000AF060000}"/>
    <cellStyle name="40% - Accent5 3 5 2" xfId="3752" xr:uid="{00000000-0005-0000-0000-0000B0060000}"/>
    <cellStyle name="40% - Accent5 3 5 2 2" xfId="7975" xr:uid="{00000000-0005-0000-0000-0000B1060000}"/>
    <cellStyle name="40% - Accent5 3 5 2 2 2" xfId="16417" xr:uid="{565A2143-F01D-4E4A-B9B2-9E5A0F17A092}"/>
    <cellStyle name="40% - Accent5 3 5 2 3" xfId="12199" xr:uid="{A7AF7571-245F-4BA8-A8F4-C21FD6FFDA3D}"/>
    <cellStyle name="40% - Accent5 3 5 3" xfId="5830" xr:uid="{00000000-0005-0000-0000-0000B2060000}"/>
    <cellStyle name="40% - Accent5 3 5 3 2" xfId="14272" xr:uid="{40CF297C-87D0-4799-B23E-CF717CBEE060}"/>
    <cellStyle name="40% - Accent5 3 5 4" xfId="10054" xr:uid="{8D7F5EDB-76C5-4218-ACAA-8926723B8352}"/>
    <cellStyle name="40% - Accent5 3 6" xfId="1936" xr:uid="{00000000-0005-0000-0000-0000B3060000}"/>
    <cellStyle name="40% - Accent5 3 6 2" xfId="4165" xr:uid="{00000000-0005-0000-0000-0000B4060000}"/>
    <cellStyle name="40% - Accent5 3 6 2 2" xfId="8388" xr:uid="{00000000-0005-0000-0000-0000B5060000}"/>
    <cellStyle name="40% - Accent5 3 6 2 2 2" xfId="16830" xr:uid="{CAE4E93D-ED5C-47FE-BE6B-78FEC67F2BA1}"/>
    <cellStyle name="40% - Accent5 3 6 2 3" xfId="12612" xr:uid="{85F1BECD-6EFC-4C24-87E3-984ABDB12588}"/>
    <cellStyle name="40% - Accent5 3 6 3" xfId="6243" xr:uid="{00000000-0005-0000-0000-0000B6060000}"/>
    <cellStyle name="40% - Accent5 3 6 3 2" xfId="14685" xr:uid="{E6873151-0781-4050-A7FA-3C7D6F2DA83E}"/>
    <cellStyle name="40% - Accent5 3 6 4" xfId="10467" xr:uid="{801325CE-4DA0-433C-B2A0-2E86B1407B5D}"/>
    <cellStyle name="40% - Accent5 3 7" xfId="2349" xr:uid="{00000000-0005-0000-0000-0000B7060000}"/>
    <cellStyle name="40% - Accent5 3 7 2" xfId="6656" xr:uid="{00000000-0005-0000-0000-0000B8060000}"/>
    <cellStyle name="40% - Accent5 3 7 2 2" xfId="15098" xr:uid="{643EE4EB-AE20-42E7-9707-D3A7DDD201ED}"/>
    <cellStyle name="40% - Accent5 3 7 3" xfId="10880" xr:uid="{BCF468E4-B3F0-41E8-9425-2CAFCC4A5FD5}"/>
    <cellStyle name="40% - Accent5 3 8" xfId="4590" xr:uid="{00000000-0005-0000-0000-0000B9060000}"/>
    <cellStyle name="40% - Accent5 3 8 2" xfId="13032" xr:uid="{E6B926CD-B0CC-4EFA-A5C2-F0A84B961284}"/>
    <cellStyle name="40% - Accent5 3 9" xfId="8814" xr:uid="{0DC224F7-157D-4738-A331-5CDFCBB5F7B3}"/>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2 2 2" xfId="15593" xr:uid="{B8A6F437-33E7-474B-A723-12218916E247}"/>
    <cellStyle name="40% - Accent5 4 2 2 3" xfId="11375" xr:uid="{D1A68327-0019-454A-857C-281F97D7EDA8}"/>
    <cellStyle name="40% - Accent5 4 2 3" xfId="5006" xr:uid="{00000000-0005-0000-0000-0000BE060000}"/>
    <cellStyle name="40% - Accent5 4 2 3 2" xfId="13448" xr:uid="{0B8A0FE2-5092-4D3A-8A4D-D372FB8FA71F}"/>
    <cellStyle name="40% - Accent5 4 2 4" xfId="9230" xr:uid="{A8904398-70DE-4DDA-BD4F-686D62822B07}"/>
    <cellStyle name="40% - Accent5 4 3" xfId="1110" xr:uid="{00000000-0005-0000-0000-0000BF060000}"/>
    <cellStyle name="40% - Accent5 4 3 2" xfId="3341" xr:uid="{00000000-0005-0000-0000-0000C0060000}"/>
    <cellStyle name="40% - Accent5 4 3 2 2" xfId="7564" xr:uid="{00000000-0005-0000-0000-0000C1060000}"/>
    <cellStyle name="40% - Accent5 4 3 2 2 2" xfId="16006" xr:uid="{2F94AAA4-B58F-4D1B-83F2-86FBD904CE05}"/>
    <cellStyle name="40% - Accent5 4 3 2 3" xfId="11788" xr:uid="{8CA6D05D-37E5-4E6F-8532-8A8C15A040B1}"/>
    <cellStyle name="40% - Accent5 4 3 3" xfId="5419" xr:uid="{00000000-0005-0000-0000-0000C2060000}"/>
    <cellStyle name="40% - Accent5 4 3 3 2" xfId="13861" xr:uid="{FBA0F4EB-EE31-467E-9A40-A33FF570829A}"/>
    <cellStyle name="40% - Accent5 4 3 4" xfId="9643" xr:uid="{36495BB3-54A0-4E7D-B829-477273AC0945}"/>
    <cellStyle name="40% - Accent5 4 4" xfId="1524" xr:uid="{00000000-0005-0000-0000-0000C3060000}"/>
    <cellStyle name="40% - Accent5 4 4 2" xfId="3754" xr:uid="{00000000-0005-0000-0000-0000C4060000}"/>
    <cellStyle name="40% - Accent5 4 4 2 2" xfId="7977" xr:uid="{00000000-0005-0000-0000-0000C5060000}"/>
    <cellStyle name="40% - Accent5 4 4 2 2 2" xfId="16419" xr:uid="{B7CC4F58-92B0-4966-8A07-AE1A1E5B0103}"/>
    <cellStyle name="40% - Accent5 4 4 2 3" xfId="12201" xr:uid="{81CEBAD9-F976-4749-B957-ED089066DE73}"/>
    <cellStyle name="40% - Accent5 4 4 3" xfId="5832" xr:uid="{00000000-0005-0000-0000-0000C6060000}"/>
    <cellStyle name="40% - Accent5 4 4 3 2" xfId="14274" xr:uid="{E44B6DFC-C35E-4D6C-8C2A-C163B289BAFC}"/>
    <cellStyle name="40% - Accent5 4 4 4" xfId="10056" xr:uid="{240E88A9-AF5A-4B5A-A3E3-B0AA0B6B842B}"/>
    <cellStyle name="40% - Accent5 4 5" xfId="1938" xr:uid="{00000000-0005-0000-0000-0000C7060000}"/>
    <cellStyle name="40% - Accent5 4 5 2" xfId="4167" xr:uid="{00000000-0005-0000-0000-0000C8060000}"/>
    <cellStyle name="40% - Accent5 4 5 2 2" xfId="8390" xr:uid="{00000000-0005-0000-0000-0000C9060000}"/>
    <cellStyle name="40% - Accent5 4 5 2 2 2" xfId="16832" xr:uid="{13685D83-3607-4A70-9DF9-68358E105F6F}"/>
    <cellStyle name="40% - Accent5 4 5 2 3" xfId="12614" xr:uid="{65275D5B-A77F-4088-9BBB-6E6878B6AE95}"/>
    <cellStyle name="40% - Accent5 4 5 3" xfId="6245" xr:uid="{00000000-0005-0000-0000-0000CA060000}"/>
    <cellStyle name="40% - Accent5 4 5 3 2" xfId="14687" xr:uid="{22875CC2-DD89-4A10-B042-74DC7DD57550}"/>
    <cellStyle name="40% - Accent5 4 5 4" xfId="10469" xr:uid="{090D75B4-3850-4B88-9102-AE5D2AA42953}"/>
    <cellStyle name="40% - Accent5 4 6" xfId="2351" xr:uid="{00000000-0005-0000-0000-0000CB060000}"/>
    <cellStyle name="40% - Accent5 4 6 2" xfId="6658" xr:uid="{00000000-0005-0000-0000-0000CC060000}"/>
    <cellStyle name="40% - Accent5 4 6 2 2" xfId="15100" xr:uid="{54AECA9B-F77F-45B4-A872-91AC2B38F546}"/>
    <cellStyle name="40% - Accent5 4 6 3" xfId="10882" xr:uid="{56ABCC74-B7CB-47C3-AA20-11C07C331092}"/>
    <cellStyle name="40% - Accent5 4 7" xfId="4592" xr:uid="{00000000-0005-0000-0000-0000CD060000}"/>
    <cellStyle name="40% - Accent5 4 7 2" xfId="13034" xr:uid="{92F010C2-C5F7-43C7-BD58-9BFDFE5CB420}"/>
    <cellStyle name="40% - Accent5 4 8" xfId="8816" xr:uid="{A3039FFE-6447-4E6E-B4EA-C2C9BEB2A675}"/>
    <cellStyle name="40% - Accent5 5" xfId="650" xr:uid="{00000000-0005-0000-0000-0000CE060000}"/>
    <cellStyle name="40% - Accent5 5 2" xfId="2921" xr:uid="{00000000-0005-0000-0000-0000CF060000}"/>
    <cellStyle name="40% - Accent5 5 2 2" xfId="7144" xr:uid="{00000000-0005-0000-0000-0000D0060000}"/>
    <cellStyle name="40% - Accent5 5 2 2 2" xfId="15586" xr:uid="{13044D3E-E0FE-4F77-8F54-3E9A17D75DC1}"/>
    <cellStyle name="40% - Accent5 5 2 3" xfId="11368" xr:uid="{A877E103-9C12-480A-902A-5791843A715F}"/>
    <cellStyle name="40% - Accent5 5 3" xfId="4999" xr:uid="{00000000-0005-0000-0000-0000D1060000}"/>
    <cellStyle name="40% - Accent5 5 3 2" xfId="13441" xr:uid="{9224B6A2-2119-4F69-9931-DD08A3869DD1}"/>
    <cellStyle name="40% - Accent5 5 4" xfId="9223" xr:uid="{B35CF609-2215-4844-A3CC-4F37513F2354}"/>
    <cellStyle name="40% - Accent5 6" xfId="1103" xr:uid="{00000000-0005-0000-0000-0000D2060000}"/>
    <cellStyle name="40% - Accent5 6 2" xfId="3334" xr:uid="{00000000-0005-0000-0000-0000D3060000}"/>
    <cellStyle name="40% - Accent5 6 2 2" xfId="7557" xr:uid="{00000000-0005-0000-0000-0000D4060000}"/>
    <cellStyle name="40% - Accent5 6 2 2 2" xfId="15999" xr:uid="{53637B98-091C-4CB4-844E-631EAE327024}"/>
    <cellStyle name="40% - Accent5 6 2 3" xfId="11781" xr:uid="{AAC83860-0C1A-4F68-85C0-01C9C7D64F8D}"/>
    <cellStyle name="40% - Accent5 6 3" xfId="5412" xr:uid="{00000000-0005-0000-0000-0000D5060000}"/>
    <cellStyle name="40% - Accent5 6 3 2" xfId="13854" xr:uid="{6CA55527-20D9-47D6-A722-27E78DF6C8BA}"/>
    <cellStyle name="40% - Accent5 6 4" xfId="9636" xr:uid="{F8B84BA6-BE8F-4A5A-87C9-60316391432A}"/>
    <cellStyle name="40% - Accent5 7" xfId="1517" xr:uid="{00000000-0005-0000-0000-0000D6060000}"/>
    <cellStyle name="40% - Accent5 7 2" xfId="3747" xr:uid="{00000000-0005-0000-0000-0000D7060000}"/>
    <cellStyle name="40% - Accent5 7 2 2" xfId="7970" xr:uid="{00000000-0005-0000-0000-0000D8060000}"/>
    <cellStyle name="40% - Accent5 7 2 2 2" xfId="16412" xr:uid="{0F668A99-3294-4F85-9288-DD5DF27B83F4}"/>
    <cellStyle name="40% - Accent5 7 2 3" xfId="12194" xr:uid="{BE274950-DB95-475D-BAFD-AB160AD1A14D}"/>
    <cellStyle name="40% - Accent5 7 3" xfId="5825" xr:uid="{00000000-0005-0000-0000-0000D9060000}"/>
    <cellStyle name="40% - Accent5 7 3 2" xfId="14267" xr:uid="{729EA876-BCD8-454C-97B4-41F1A0530897}"/>
    <cellStyle name="40% - Accent5 7 4" xfId="10049" xr:uid="{DA617478-6D1B-48B4-9838-40D9A82822B4}"/>
    <cellStyle name="40% - Accent5 8" xfId="1931" xr:uid="{00000000-0005-0000-0000-0000DA060000}"/>
    <cellStyle name="40% - Accent5 8 2" xfId="4160" xr:uid="{00000000-0005-0000-0000-0000DB060000}"/>
    <cellStyle name="40% - Accent5 8 2 2" xfId="8383" xr:uid="{00000000-0005-0000-0000-0000DC060000}"/>
    <cellStyle name="40% - Accent5 8 2 2 2" xfId="16825" xr:uid="{9350FEA0-F3C2-4E9D-943F-3642F8DE8FED}"/>
    <cellStyle name="40% - Accent5 8 2 3" xfId="12607" xr:uid="{87FC7C2A-1322-41FB-B4B3-A694B37A28D4}"/>
    <cellStyle name="40% - Accent5 8 3" xfId="6238" xr:uid="{00000000-0005-0000-0000-0000DD060000}"/>
    <cellStyle name="40% - Accent5 8 3 2" xfId="14680" xr:uid="{0D66A1C7-3216-4F1F-8348-FC9A5D7D44DD}"/>
    <cellStyle name="40% - Accent5 8 4" xfId="10462" xr:uid="{495E393F-C572-42FB-B672-988A22D59849}"/>
    <cellStyle name="40% - Accent5 9" xfId="2344" xr:uid="{00000000-0005-0000-0000-0000DE060000}"/>
    <cellStyle name="40% - Accent5 9 2" xfId="6651" xr:uid="{00000000-0005-0000-0000-0000DF060000}"/>
    <cellStyle name="40% - Accent5 9 2 2" xfId="15093" xr:uid="{FC6546EB-B282-48BF-AAFD-08D7F0594D3D}"/>
    <cellStyle name="40% - Accent5 9 3" xfId="10875" xr:uid="{0D562F36-8AF9-49C5-8E53-2CDA562C999E}"/>
    <cellStyle name="40% - Accent6" xfId="89" builtinId="51" customBuiltin="1"/>
    <cellStyle name="40% - Accent6 10" xfId="4593" xr:uid="{00000000-0005-0000-0000-0000E1060000}"/>
    <cellStyle name="40% - Accent6 10 2" xfId="13035" xr:uid="{1927F726-5A74-42AE-A451-29792D8D0BE0}"/>
    <cellStyle name="40% - Accent6 11" xfId="8817" xr:uid="{6A14D6D0-2764-48F3-B9CF-4DE172CF7F12}"/>
    <cellStyle name="40% - Accent6 2" xfId="90" xr:uid="{00000000-0005-0000-0000-0000E2060000}"/>
    <cellStyle name="40% - Accent6 2 10" xfId="8818" xr:uid="{9AF64815-2AB6-4EAB-80E6-5A05D26E6D82}"/>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2 2 2" xfId="15597" xr:uid="{6CE849B3-12C1-4648-B591-5BA335C58211}"/>
    <cellStyle name="40% - Accent6 2 2 2 2 2 3" xfId="11379" xr:uid="{B028ECFC-4784-41B9-9B4C-00C2FF981B22}"/>
    <cellStyle name="40% - Accent6 2 2 2 2 3" xfId="5010" xr:uid="{00000000-0005-0000-0000-0000E8060000}"/>
    <cellStyle name="40% - Accent6 2 2 2 2 3 2" xfId="13452" xr:uid="{38DC8222-413F-462B-9109-8BC9E517DF7E}"/>
    <cellStyle name="40% - Accent6 2 2 2 2 4" xfId="9234" xr:uid="{5E73E894-8DEE-4EF4-BF3D-2BC0CE8E3BC3}"/>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2 2 2" xfId="16010" xr:uid="{6B95AC7A-E900-4008-BFC2-AE07064913BA}"/>
    <cellStyle name="40% - Accent6 2 2 2 3 2 3" xfId="11792" xr:uid="{1E22FF53-B5CA-4676-9925-DCAF1BFAC608}"/>
    <cellStyle name="40% - Accent6 2 2 2 3 3" xfId="5423" xr:uid="{00000000-0005-0000-0000-0000EC060000}"/>
    <cellStyle name="40% - Accent6 2 2 2 3 3 2" xfId="13865" xr:uid="{245609B1-02BA-4BA0-9899-385BADEDEF1B}"/>
    <cellStyle name="40% - Accent6 2 2 2 3 4" xfId="9647" xr:uid="{09DA79BA-49F3-4B80-A058-0B82F55010A2}"/>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2 2 2" xfId="16423" xr:uid="{A5688F47-E899-42C9-9930-BBF174B38092}"/>
    <cellStyle name="40% - Accent6 2 2 2 4 2 3" xfId="12205" xr:uid="{9DFF2C6B-4199-4479-9DE5-1CB2EC9DA1CE}"/>
    <cellStyle name="40% - Accent6 2 2 2 4 3" xfId="5836" xr:uid="{00000000-0005-0000-0000-0000F0060000}"/>
    <cellStyle name="40% - Accent6 2 2 2 4 3 2" xfId="14278" xr:uid="{82D33F57-F658-48C1-A827-0C914B127867}"/>
    <cellStyle name="40% - Accent6 2 2 2 4 4" xfId="10060" xr:uid="{8250844B-FE33-4E5B-B9CF-045895B75C86}"/>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2 2 2" xfId="16836" xr:uid="{81B0C056-D866-4337-802E-74CAEE576C6C}"/>
    <cellStyle name="40% - Accent6 2 2 2 5 2 3" xfId="12618" xr:uid="{9E4EF339-F508-46A6-B08F-83790AF8CD4B}"/>
    <cellStyle name="40% - Accent6 2 2 2 5 3" xfId="6249" xr:uid="{00000000-0005-0000-0000-0000F4060000}"/>
    <cellStyle name="40% - Accent6 2 2 2 5 3 2" xfId="14691" xr:uid="{838C11EE-1DF5-413E-968B-EB34D4D7D7ED}"/>
    <cellStyle name="40% - Accent6 2 2 2 5 4" xfId="10473" xr:uid="{C18AB53F-4453-40B5-BA6B-E8325A9492C4}"/>
    <cellStyle name="40% - Accent6 2 2 2 6" xfId="2355" xr:uid="{00000000-0005-0000-0000-0000F5060000}"/>
    <cellStyle name="40% - Accent6 2 2 2 6 2" xfId="6662" xr:uid="{00000000-0005-0000-0000-0000F6060000}"/>
    <cellStyle name="40% - Accent6 2 2 2 6 2 2" xfId="15104" xr:uid="{C2180662-9C04-4D1D-8838-A37587659E8B}"/>
    <cellStyle name="40% - Accent6 2 2 2 6 3" xfId="10886" xr:uid="{2638A2B2-1057-482B-9647-E89661EFB7D8}"/>
    <cellStyle name="40% - Accent6 2 2 2 7" xfId="4596" xr:uid="{00000000-0005-0000-0000-0000F7060000}"/>
    <cellStyle name="40% - Accent6 2 2 2 7 2" xfId="13038" xr:uid="{8F8A1F95-BCB2-4C10-AB17-4AE323859ED9}"/>
    <cellStyle name="40% - Accent6 2 2 2 8" xfId="8820" xr:uid="{99AD095F-C060-4C78-B078-F8C9DCDDAE30}"/>
    <cellStyle name="40% - Accent6 2 2 3" xfId="660" xr:uid="{00000000-0005-0000-0000-0000F8060000}"/>
    <cellStyle name="40% - Accent6 2 2 3 2" xfId="2931" xr:uid="{00000000-0005-0000-0000-0000F9060000}"/>
    <cellStyle name="40% - Accent6 2 2 3 2 2" xfId="7154" xr:uid="{00000000-0005-0000-0000-0000FA060000}"/>
    <cellStyle name="40% - Accent6 2 2 3 2 2 2" xfId="15596" xr:uid="{AD95C2F9-529B-495B-8438-0AEDEAC08C2E}"/>
    <cellStyle name="40% - Accent6 2 2 3 2 3" xfId="11378" xr:uid="{C9AF153C-6012-4140-8364-F160987EF249}"/>
    <cellStyle name="40% - Accent6 2 2 3 3" xfId="5009" xr:uid="{00000000-0005-0000-0000-0000FB060000}"/>
    <cellStyle name="40% - Accent6 2 2 3 3 2" xfId="13451" xr:uid="{2A0E2D66-1B6D-49D4-B9A7-53B1803C2281}"/>
    <cellStyle name="40% - Accent6 2 2 3 4" xfId="9233" xr:uid="{DD2260DC-DAC1-413B-80EF-C16AD5153151}"/>
    <cellStyle name="40% - Accent6 2 2 4" xfId="1113" xr:uid="{00000000-0005-0000-0000-0000FC060000}"/>
    <cellStyle name="40% - Accent6 2 2 4 2" xfId="3344" xr:uid="{00000000-0005-0000-0000-0000FD060000}"/>
    <cellStyle name="40% - Accent6 2 2 4 2 2" xfId="7567" xr:uid="{00000000-0005-0000-0000-0000FE060000}"/>
    <cellStyle name="40% - Accent6 2 2 4 2 2 2" xfId="16009" xr:uid="{8B7F7A0B-7057-4DC1-87AE-FC38629FBA37}"/>
    <cellStyle name="40% - Accent6 2 2 4 2 3" xfId="11791" xr:uid="{973ABD83-C4C3-42E7-831C-9AF1D045F9B3}"/>
    <cellStyle name="40% - Accent6 2 2 4 3" xfId="5422" xr:uid="{00000000-0005-0000-0000-0000FF060000}"/>
    <cellStyle name="40% - Accent6 2 2 4 3 2" xfId="13864" xr:uid="{0598757D-AA96-4248-89C2-82BD9F7C72B4}"/>
    <cellStyle name="40% - Accent6 2 2 4 4" xfId="9646" xr:uid="{97757010-9D65-42D4-A527-D525F05448F7}"/>
    <cellStyle name="40% - Accent6 2 2 5" xfId="1527" xr:uid="{00000000-0005-0000-0000-000000070000}"/>
    <cellStyle name="40% - Accent6 2 2 5 2" xfId="3757" xr:uid="{00000000-0005-0000-0000-000001070000}"/>
    <cellStyle name="40% - Accent6 2 2 5 2 2" xfId="7980" xr:uid="{00000000-0005-0000-0000-000002070000}"/>
    <cellStyle name="40% - Accent6 2 2 5 2 2 2" xfId="16422" xr:uid="{D1E00120-23DF-4F8B-A29C-95FB2AF07394}"/>
    <cellStyle name="40% - Accent6 2 2 5 2 3" xfId="12204" xr:uid="{073A07D8-A9C5-49C3-ABD4-37631E7BDBAA}"/>
    <cellStyle name="40% - Accent6 2 2 5 3" xfId="5835" xr:uid="{00000000-0005-0000-0000-000003070000}"/>
    <cellStyle name="40% - Accent6 2 2 5 3 2" xfId="14277" xr:uid="{44EB9301-AFF4-43C5-A311-6909D7FF1787}"/>
    <cellStyle name="40% - Accent6 2 2 5 4" xfId="10059" xr:uid="{A3738052-81E2-4FC2-A82C-59E97A17A34E}"/>
    <cellStyle name="40% - Accent6 2 2 6" xfId="1941" xr:uid="{00000000-0005-0000-0000-000004070000}"/>
    <cellStyle name="40% - Accent6 2 2 6 2" xfId="4170" xr:uid="{00000000-0005-0000-0000-000005070000}"/>
    <cellStyle name="40% - Accent6 2 2 6 2 2" xfId="8393" xr:uid="{00000000-0005-0000-0000-000006070000}"/>
    <cellStyle name="40% - Accent6 2 2 6 2 2 2" xfId="16835" xr:uid="{3C621F37-9ABC-42C0-8D84-C8F8D10D40C1}"/>
    <cellStyle name="40% - Accent6 2 2 6 2 3" xfId="12617" xr:uid="{1D9381E1-993C-4AED-890A-2854A6A4A6AA}"/>
    <cellStyle name="40% - Accent6 2 2 6 3" xfId="6248" xr:uid="{00000000-0005-0000-0000-000007070000}"/>
    <cellStyle name="40% - Accent6 2 2 6 3 2" xfId="14690" xr:uid="{6E126389-3D30-4F8A-9E3C-72972CDFD86F}"/>
    <cellStyle name="40% - Accent6 2 2 6 4" xfId="10472" xr:uid="{8F18E216-99AA-42D3-9A1B-0DF94BA512CA}"/>
    <cellStyle name="40% - Accent6 2 2 7" xfId="2354" xr:uid="{00000000-0005-0000-0000-000008070000}"/>
    <cellStyle name="40% - Accent6 2 2 7 2" xfId="6661" xr:uid="{00000000-0005-0000-0000-000009070000}"/>
    <cellStyle name="40% - Accent6 2 2 7 2 2" xfId="15103" xr:uid="{915A80B0-2A36-43E9-AAD4-EB3CF8D07AC8}"/>
    <cellStyle name="40% - Accent6 2 2 7 3" xfId="10885" xr:uid="{764928C3-EC72-493E-B4C1-EE4602FD7B72}"/>
    <cellStyle name="40% - Accent6 2 2 8" xfId="4595" xr:uid="{00000000-0005-0000-0000-00000A070000}"/>
    <cellStyle name="40% - Accent6 2 2 8 2" xfId="13037" xr:uid="{1C81C4D5-E0DE-43AA-A00D-0813A5222E4A}"/>
    <cellStyle name="40% - Accent6 2 2 9" xfId="8819" xr:uid="{81E1BB86-7DB9-4A70-95BE-18269A8E8537}"/>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2 2 2" xfId="15598" xr:uid="{6EC4DC7F-E2DE-45E6-8BEA-E09E0F55BCA0}"/>
    <cellStyle name="40% - Accent6 2 3 2 2 3" xfId="11380" xr:uid="{ECF00D80-354E-493D-A3DA-DC4195164415}"/>
    <cellStyle name="40% - Accent6 2 3 2 3" xfId="5011" xr:uid="{00000000-0005-0000-0000-00000F070000}"/>
    <cellStyle name="40% - Accent6 2 3 2 3 2" xfId="13453" xr:uid="{A9C7FD27-5E08-4B8F-AD12-111249E42B91}"/>
    <cellStyle name="40% - Accent6 2 3 2 4" xfId="9235" xr:uid="{EE713391-F665-4A99-B753-3033F4135493}"/>
    <cellStyle name="40% - Accent6 2 3 3" xfId="1115" xr:uid="{00000000-0005-0000-0000-000010070000}"/>
    <cellStyle name="40% - Accent6 2 3 3 2" xfId="3346" xr:uid="{00000000-0005-0000-0000-000011070000}"/>
    <cellStyle name="40% - Accent6 2 3 3 2 2" xfId="7569" xr:uid="{00000000-0005-0000-0000-000012070000}"/>
    <cellStyle name="40% - Accent6 2 3 3 2 2 2" xfId="16011" xr:uid="{C279437D-0907-4ACD-AD24-D73F8050447F}"/>
    <cellStyle name="40% - Accent6 2 3 3 2 3" xfId="11793" xr:uid="{E7F44A97-B3B5-4C2A-A9B4-E3C1E2159B3A}"/>
    <cellStyle name="40% - Accent6 2 3 3 3" xfId="5424" xr:uid="{00000000-0005-0000-0000-000013070000}"/>
    <cellStyle name="40% - Accent6 2 3 3 3 2" xfId="13866" xr:uid="{F104314F-3A7E-4D71-A3BD-30958D4F66FE}"/>
    <cellStyle name="40% - Accent6 2 3 3 4" xfId="9648" xr:uid="{58B1A469-3A5F-441B-9568-9FAF0EFE16A6}"/>
    <cellStyle name="40% - Accent6 2 3 4" xfId="1529" xr:uid="{00000000-0005-0000-0000-000014070000}"/>
    <cellStyle name="40% - Accent6 2 3 4 2" xfId="3759" xr:uid="{00000000-0005-0000-0000-000015070000}"/>
    <cellStyle name="40% - Accent6 2 3 4 2 2" xfId="7982" xr:uid="{00000000-0005-0000-0000-000016070000}"/>
    <cellStyle name="40% - Accent6 2 3 4 2 2 2" xfId="16424" xr:uid="{A8A84165-A812-4F92-85C4-8E5EF4FF7A0E}"/>
    <cellStyle name="40% - Accent6 2 3 4 2 3" xfId="12206" xr:uid="{F4BA99D4-0030-4BA4-B390-316806F71E7D}"/>
    <cellStyle name="40% - Accent6 2 3 4 3" xfId="5837" xr:uid="{00000000-0005-0000-0000-000017070000}"/>
    <cellStyle name="40% - Accent6 2 3 4 3 2" xfId="14279" xr:uid="{6D2DE2A1-ABCE-4902-B421-0E57DEFFE65D}"/>
    <cellStyle name="40% - Accent6 2 3 4 4" xfId="10061" xr:uid="{B1045AF5-6F83-4129-9D26-1EFE4D2CC7C7}"/>
    <cellStyle name="40% - Accent6 2 3 5" xfId="1943" xr:uid="{00000000-0005-0000-0000-000018070000}"/>
    <cellStyle name="40% - Accent6 2 3 5 2" xfId="4172" xr:uid="{00000000-0005-0000-0000-000019070000}"/>
    <cellStyle name="40% - Accent6 2 3 5 2 2" xfId="8395" xr:uid="{00000000-0005-0000-0000-00001A070000}"/>
    <cellStyle name="40% - Accent6 2 3 5 2 2 2" xfId="16837" xr:uid="{879AACF9-462A-4065-9612-4A291EBEF57F}"/>
    <cellStyle name="40% - Accent6 2 3 5 2 3" xfId="12619" xr:uid="{848F8C9B-2D61-4580-8E37-3585EA7939FE}"/>
    <cellStyle name="40% - Accent6 2 3 5 3" xfId="6250" xr:uid="{00000000-0005-0000-0000-00001B070000}"/>
    <cellStyle name="40% - Accent6 2 3 5 3 2" xfId="14692" xr:uid="{3F566A95-2830-4AD5-9A2F-2BE88978DB7F}"/>
    <cellStyle name="40% - Accent6 2 3 5 4" xfId="10474" xr:uid="{211FF142-BD40-4CED-83D2-338E26BC8FFB}"/>
    <cellStyle name="40% - Accent6 2 3 6" xfId="2356" xr:uid="{00000000-0005-0000-0000-00001C070000}"/>
    <cellStyle name="40% - Accent6 2 3 6 2" xfId="6663" xr:uid="{00000000-0005-0000-0000-00001D070000}"/>
    <cellStyle name="40% - Accent6 2 3 6 2 2" xfId="15105" xr:uid="{C11828D6-58A6-4612-A880-E1AFD95A42D8}"/>
    <cellStyle name="40% - Accent6 2 3 6 3" xfId="10887" xr:uid="{CB8C39F2-E520-4625-877E-FD7CB30C05F1}"/>
    <cellStyle name="40% - Accent6 2 3 7" xfId="4597" xr:uid="{00000000-0005-0000-0000-00001E070000}"/>
    <cellStyle name="40% - Accent6 2 3 7 2" xfId="13039" xr:uid="{C00901FE-604C-40A1-8F4D-A0835685CCC7}"/>
    <cellStyle name="40% - Accent6 2 3 8" xfId="8821" xr:uid="{5C5CDD66-F2A0-4442-A2C3-C39150596CAF}"/>
    <cellStyle name="40% - Accent6 2 4" xfId="659" xr:uid="{00000000-0005-0000-0000-00001F070000}"/>
    <cellStyle name="40% - Accent6 2 4 2" xfId="2930" xr:uid="{00000000-0005-0000-0000-000020070000}"/>
    <cellStyle name="40% - Accent6 2 4 2 2" xfId="7153" xr:uid="{00000000-0005-0000-0000-000021070000}"/>
    <cellStyle name="40% - Accent6 2 4 2 2 2" xfId="15595" xr:uid="{18BAA6C7-BF9F-4A32-B257-0D627223C9B3}"/>
    <cellStyle name="40% - Accent6 2 4 2 3" xfId="11377" xr:uid="{56C01C69-CD20-4CE1-B235-D223255A1BD8}"/>
    <cellStyle name="40% - Accent6 2 4 3" xfId="5008" xr:uid="{00000000-0005-0000-0000-000022070000}"/>
    <cellStyle name="40% - Accent6 2 4 3 2" xfId="13450" xr:uid="{2D67FDEA-A15C-406D-8A7A-CE764B2E81A2}"/>
    <cellStyle name="40% - Accent6 2 4 4" xfId="9232" xr:uid="{AAD085C4-F90D-4C09-940E-F087F9EF005A}"/>
    <cellStyle name="40% - Accent6 2 5" xfId="1112" xr:uid="{00000000-0005-0000-0000-000023070000}"/>
    <cellStyle name="40% - Accent6 2 5 2" xfId="3343" xr:uid="{00000000-0005-0000-0000-000024070000}"/>
    <cellStyle name="40% - Accent6 2 5 2 2" xfId="7566" xr:uid="{00000000-0005-0000-0000-000025070000}"/>
    <cellStyle name="40% - Accent6 2 5 2 2 2" xfId="16008" xr:uid="{7BB85C29-CDD7-4B95-9B62-DE826A267B2F}"/>
    <cellStyle name="40% - Accent6 2 5 2 3" xfId="11790" xr:uid="{4C0F9E9D-83C2-41BE-854D-5CA9669B3950}"/>
    <cellStyle name="40% - Accent6 2 5 3" xfId="5421" xr:uid="{00000000-0005-0000-0000-000026070000}"/>
    <cellStyle name="40% - Accent6 2 5 3 2" xfId="13863" xr:uid="{49088ACF-5EBF-4B5C-A262-66A5A4982F6B}"/>
    <cellStyle name="40% - Accent6 2 5 4" xfId="9645" xr:uid="{8815B953-1A9B-42D7-A5E3-CCCE0591BC24}"/>
    <cellStyle name="40% - Accent6 2 6" xfId="1526" xr:uid="{00000000-0005-0000-0000-000027070000}"/>
    <cellStyle name="40% - Accent6 2 6 2" xfId="3756" xr:uid="{00000000-0005-0000-0000-000028070000}"/>
    <cellStyle name="40% - Accent6 2 6 2 2" xfId="7979" xr:uid="{00000000-0005-0000-0000-000029070000}"/>
    <cellStyle name="40% - Accent6 2 6 2 2 2" xfId="16421" xr:uid="{5217B6BD-A99E-4229-AD35-3E5F55DEC580}"/>
    <cellStyle name="40% - Accent6 2 6 2 3" xfId="12203" xr:uid="{1054EDA8-7C92-4D7C-9207-2DC3FA822479}"/>
    <cellStyle name="40% - Accent6 2 6 3" xfId="5834" xr:uid="{00000000-0005-0000-0000-00002A070000}"/>
    <cellStyle name="40% - Accent6 2 6 3 2" xfId="14276" xr:uid="{198300FB-1206-473F-B99C-D34F6E8CAFB0}"/>
    <cellStyle name="40% - Accent6 2 6 4" xfId="10058" xr:uid="{0CE678FA-4121-4E68-B308-1D881E43F7B7}"/>
    <cellStyle name="40% - Accent6 2 7" xfId="1940" xr:uid="{00000000-0005-0000-0000-00002B070000}"/>
    <cellStyle name="40% - Accent6 2 7 2" xfId="4169" xr:uid="{00000000-0005-0000-0000-00002C070000}"/>
    <cellStyle name="40% - Accent6 2 7 2 2" xfId="8392" xr:uid="{00000000-0005-0000-0000-00002D070000}"/>
    <cellStyle name="40% - Accent6 2 7 2 2 2" xfId="16834" xr:uid="{572BE257-7C7A-4CFF-AB99-E8663D09B5A8}"/>
    <cellStyle name="40% - Accent6 2 7 2 3" xfId="12616" xr:uid="{27FE0361-517D-41E1-97D4-3FF02BC9CD96}"/>
    <cellStyle name="40% - Accent6 2 7 3" xfId="6247" xr:uid="{00000000-0005-0000-0000-00002E070000}"/>
    <cellStyle name="40% - Accent6 2 7 3 2" xfId="14689" xr:uid="{6CAD384D-3309-4E0B-B24B-0CAC169E22D3}"/>
    <cellStyle name="40% - Accent6 2 7 4" xfId="10471" xr:uid="{F31B2E94-4A78-4B48-A2E9-4B5070A2E6F0}"/>
    <cellStyle name="40% - Accent6 2 8" xfId="2353" xr:uid="{00000000-0005-0000-0000-00002F070000}"/>
    <cellStyle name="40% - Accent6 2 8 2" xfId="6660" xr:uid="{00000000-0005-0000-0000-000030070000}"/>
    <cellStyle name="40% - Accent6 2 8 2 2" xfId="15102" xr:uid="{49A85A26-B56C-4FD2-9AD1-8714B1EFC212}"/>
    <cellStyle name="40% - Accent6 2 8 3" xfId="10884" xr:uid="{5B8BE380-AF12-4B3A-A40E-FEE3D72238F8}"/>
    <cellStyle name="40% - Accent6 2 9" xfId="4594" xr:uid="{00000000-0005-0000-0000-000031070000}"/>
    <cellStyle name="40% - Accent6 2 9 2" xfId="13036" xr:uid="{1E3DA613-75E5-44AF-87D5-B689B5DAA1E4}"/>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2 2 2" xfId="15600" xr:uid="{B6F55AC7-7BFF-45A6-B2D6-3CD6DF93C907}"/>
    <cellStyle name="40% - Accent6 3 2 2 2 3" xfId="11382" xr:uid="{28E3B59E-24C9-42D0-81F3-C5A7038F7A65}"/>
    <cellStyle name="40% - Accent6 3 2 2 3" xfId="5013" xr:uid="{00000000-0005-0000-0000-000037070000}"/>
    <cellStyle name="40% - Accent6 3 2 2 3 2" xfId="13455" xr:uid="{C63A0513-A215-48B3-AE09-B7DEEBE5B716}"/>
    <cellStyle name="40% - Accent6 3 2 2 4" xfId="9237" xr:uid="{D12622BC-DD6E-4682-B704-0EEDBAC26C0E}"/>
    <cellStyle name="40% - Accent6 3 2 3" xfId="1117" xr:uid="{00000000-0005-0000-0000-000038070000}"/>
    <cellStyle name="40% - Accent6 3 2 3 2" xfId="3348" xr:uid="{00000000-0005-0000-0000-000039070000}"/>
    <cellStyle name="40% - Accent6 3 2 3 2 2" xfId="7571" xr:uid="{00000000-0005-0000-0000-00003A070000}"/>
    <cellStyle name="40% - Accent6 3 2 3 2 2 2" xfId="16013" xr:uid="{DF6161EB-7C31-45AC-88BE-2EA2CB64B479}"/>
    <cellStyle name="40% - Accent6 3 2 3 2 3" xfId="11795" xr:uid="{596ED490-FDC0-4E3F-965C-EF7C4ECBB8B9}"/>
    <cellStyle name="40% - Accent6 3 2 3 3" xfId="5426" xr:uid="{00000000-0005-0000-0000-00003B070000}"/>
    <cellStyle name="40% - Accent6 3 2 3 3 2" xfId="13868" xr:uid="{FBC348C2-557B-4DF4-8CBE-C46325065FC7}"/>
    <cellStyle name="40% - Accent6 3 2 3 4" xfId="9650" xr:uid="{D41F576E-BE59-4A64-876B-5F0B865270B0}"/>
    <cellStyle name="40% - Accent6 3 2 4" xfId="1531" xr:uid="{00000000-0005-0000-0000-00003C070000}"/>
    <cellStyle name="40% - Accent6 3 2 4 2" xfId="3761" xr:uid="{00000000-0005-0000-0000-00003D070000}"/>
    <cellStyle name="40% - Accent6 3 2 4 2 2" xfId="7984" xr:uid="{00000000-0005-0000-0000-00003E070000}"/>
    <cellStyle name="40% - Accent6 3 2 4 2 2 2" xfId="16426" xr:uid="{92FBDAD9-B9D4-44A0-9F28-A84C957D9C23}"/>
    <cellStyle name="40% - Accent6 3 2 4 2 3" xfId="12208" xr:uid="{7817B10D-25C4-4AD6-B822-9E623FB5DA19}"/>
    <cellStyle name="40% - Accent6 3 2 4 3" xfId="5839" xr:uid="{00000000-0005-0000-0000-00003F070000}"/>
    <cellStyle name="40% - Accent6 3 2 4 3 2" xfId="14281" xr:uid="{832EA7CD-0EB0-43A0-8075-C5AA58A84EDC}"/>
    <cellStyle name="40% - Accent6 3 2 4 4" xfId="10063" xr:uid="{29E24E73-0CBA-4CA5-A24E-191BA5F5B423}"/>
    <cellStyle name="40% - Accent6 3 2 5" xfId="1945" xr:uid="{00000000-0005-0000-0000-000040070000}"/>
    <cellStyle name="40% - Accent6 3 2 5 2" xfId="4174" xr:uid="{00000000-0005-0000-0000-000041070000}"/>
    <cellStyle name="40% - Accent6 3 2 5 2 2" xfId="8397" xr:uid="{00000000-0005-0000-0000-000042070000}"/>
    <cellStyle name="40% - Accent6 3 2 5 2 2 2" xfId="16839" xr:uid="{2615386C-B5E3-4AAA-BC5A-98BF855E219B}"/>
    <cellStyle name="40% - Accent6 3 2 5 2 3" xfId="12621" xr:uid="{913E9943-A58A-4CEF-98D6-70C2A93ECD13}"/>
    <cellStyle name="40% - Accent6 3 2 5 3" xfId="6252" xr:uid="{00000000-0005-0000-0000-000043070000}"/>
    <cellStyle name="40% - Accent6 3 2 5 3 2" xfId="14694" xr:uid="{4F6E2FB8-ACAB-403E-B353-B74F06DE2F9D}"/>
    <cellStyle name="40% - Accent6 3 2 5 4" xfId="10476" xr:uid="{F241ADC6-439C-498E-8BAA-0ADEA8E4F6B4}"/>
    <cellStyle name="40% - Accent6 3 2 6" xfId="2358" xr:uid="{00000000-0005-0000-0000-000044070000}"/>
    <cellStyle name="40% - Accent6 3 2 6 2" xfId="6665" xr:uid="{00000000-0005-0000-0000-000045070000}"/>
    <cellStyle name="40% - Accent6 3 2 6 2 2" xfId="15107" xr:uid="{DA4BE600-C057-4F99-84E4-BA14F1164525}"/>
    <cellStyle name="40% - Accent6 3 2 6 3" xfId="10889" xr:uid="{F8486B8D-4F3D-4FEE-B88C-31861AEEE705}"/>
    <cellStyle name="40% - Accent6 3 2 7" xfId="4599" xr:uid="{00000000-0005-0000-0000-000046070000}"/>
    <cellStyle name="40% - Accent6 3 2 7 2" xfId="13041" xr:uid="{5CB04216-5A8E-4DF4-9580-1B8CB1B05E8C}"/>
    <cellStyle name="40% - Accent6 3 2 8" xfId="8823" xr:uid="{2D8A2057-7E5D-4B4B-B095-92D43F4CDC9C}"/>
    <cellStyle name="40% - Accent6 3 3" xfId="663" xr:uid="{00000000-0005-0000-0000-000047070000}"/>
    <cellStyle name="40% - Accent6 3 3 2" xfId="2934" xr:uid="{00000000-0005-0000-0000-000048070000}"/>
    <cellStyle name="40% - Accent6 3 3 2 2" xfId="7157" xr:uid="{00000000-0005-0000-0000-000049070000}"/>
    <cellStyle name="40% - Accent6 3 3 2 2 2" xfId="15599" xr:uid="{6882DEB5-02A7-431D-A92D-1FD29E2FC17C}"/>
    <cellStyle name="40% - Accent6 3 3 2 3" xfId="11381" xr:uid="{54502B16-6EE0-47A1-884A-EBC6A0398AAB}"/>
    <cellStyle name="40% - Accent6 3 3 3" xfId="5012" xr:uid="{00000000-0005-0000-0000-00004A070000}"/>
    <cellStyle name="40% - Accent6 3 3 3 2" xfId="13454" xr:uid="{64C0C577-9EE7-4238-BB10-9AC03FBD8E51}"/>
    <cellStyle name="40% - Accent6 3 3 4" xfId="9236" xr:uid="{785D58CD-F657-4211-A6F6-EC28124E05D0}"/>
    <cellStyle name="40% - Accent6 3 4" xfId="1116" xr:uid="{00000000-0005-0000-0000-00004B070000}"/>
    <cellStyle name="40% - Accent6 3 4 2" xfId="3347" xr:uid="{00000000-0005-0000-0000-00004C070000}"/>
    <cellStyle name="40% - Accent6 3 4 2 2" xfId="7570" xr:uid="{00000000-0005-0000-0000-00004D070000}"/>
    <cellStyle name="40% - Accent6 3 4 2 2 2" xfId="16012" xr:uid="{698B73C4-4855-4ADC-8948-48B371B5FFE7}"/>
    <cellStyle name="40% - Accent6 3 4 2 3" xfId="11794" xr:uid="{913DF702-8556-40F1-B601-094B87C2C491}"/>
    <cellStyle name="40% - Accent6 3 4 3" xfId="5425" xr:uid="{00000000-0005-0000-0000-00004E070000}"/>
    <cellStyle name="40% - Accent6 3 4 3 2" xfId="13867" xr:uid="{DF8AAD43-1433-45E8-9BA8-4AEC2F1871E8}"/>
    <cellStyle name="40% - Accent6 3 4 4" xfId="9649" xr:uid="{D82F0474-56CE-4591-8E51-23F11CA000EB}"/>
    <cellStyle name="40% - Accent6 3 5" xfId="1530" xr:uid="{00000000-0005-0000-0000-00004F070000}"/>
    <cellStyle name="40% - Accent6 3 5 2" xfId="3760" xr:uid="{00000000-0005-0000-0000-000050070000}"/>
    <cellStyle name="40% - Accent6 3 5 2 2" xfId="7983" xr:uid="{00000000-0005-0000-0000-000051070000}"/>
    <cellStyle name="40% - Accent6 3 5 2 2 2" xfId="16425" xr:uid="{44B65524-A0BC-499D-BD98-42E89181BDA2}"/>
    <cellStyle name="40% - Accent6 3 5 2 3" xfId="12207" xr:uid="{CC51F097-1233-4CE9-BE2E-D259A9AD02BE}"/>
    <cellStyle name="40% - Accent6 3 5 3" xfId="5838" xr:uid="{00000000-0005-0000-0000-000052070000}"/>
    <cellStyle name="40% - Accent6 3 5 3 2" xfId="14280" xr:uid="{B0FDB938-22C7-43D2-8AF6-4FE15740790E}"/>
    <cellStyle name="40% - Accent6 3 5 4" xfId="10062" xr:uid="{DBAEBC5E-274E-4767-B17B-2CD1B260B3FF}"/>
    <cellStyle name="40% - Accent6 3 6" xfId="1944" xr:uid="{00000000-0005-0000-0000-000053070000}"/>
    <cellStyle name="40% - Accent6 3 6 2" xfId="4173" xr:uid="{00000000-0005-0000-0000-000054070000}"/>
    <cellStyle name="40% - Accent6 3 6 2 2" xfId="8396" xr:uid="{00000000-0005-0000-0000-000055070000}"/>
    <cellStyle name="40% - Accent6 3 6 2 2 2" xfId="16838" xr:uid="{45F386EA-B26C-49D5-8D1B-F4998FAB776D}"/>
    <cellStyle name="40% - Accent6 3 6 2 3" xfId="12620" xr:uid="{88D315D4-85C4-4433-87B7-D1A1FC9D450F}"/>
    <cellStyle name="40% - Accent6 3 6 3" xfId="6251" xr:uid="{00000000-0005-0000-0000-000056070000}"/>
    <cellStyle name="40% - Accent6 3 6 3 2" xfId="14693" xr:uid="{CEA0CAF2-AB8E-43C0-9CFD-0EFC3AAD9AE5}"/>
    <cellStyle name="40% - Accent6 3 6 4" xfId="10475" xr:uid="{31B8C14A-9418-4AB9-8092-C289A92CB02F}"/>
    <cellStyle name="40% - Accent6 3 7" xfId="2357" xr:uid="{00000000-0005-0000-0000-000057070000}"/>
    <cellStyle name="40% - Accent6 3 7 2" xfId="6664" xr:uid="{00000000-0005-0000-0000-000058070000}"/>
    <cellStyle name="40% - Accent6 3 7 2 2" xfId="15106" xr:uid="{63672EDC-5F9E-4DDA-91A4-119531439608}"/>
    <cellStyle name="40% - Accent6 3 7 3" xfId="10888" xr:uid="{97887AB3-B8F1-4125-BCF9-66768B7E11BA}"/>
    <cellStyle name="40% - Accent6 3 8" xfId="4598" xr:uid="{00000000-0005-0000-0000-000059070000}"/>
    <cellStyle name="40% - Accent6 3 8 2" xfId="13040" xr:uid="{BDC7D9F0-7B6C-42E7-A32F-0FAF93BD0A04}"/>
    <cellStyle name="40% - Accent6 3 9" xfId="8822" xr:uid="{50B078EF-5E8C-4F04-9964-DE14758B89A2}"/>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2 2 2" xfId="15601" xr:uid="{58FA2449-9935-4B9D-8D4D-39FC04A733C8}"/>
    <cellStyle name="40% - Accent6 4 2 2 3" xfId="11383" xr:uid="{8DE748C0-6469-478D-A76F-81C5828134AE}"/>
    <cellStyle name="40% - Accent6 4 2 3" xfId="5014" xr:uid="{00000000-0005-0000-0000-00005E070000}"/>
    <cellStyle name="40% - Accent6 4 2 3 2" xfId="13456" xr:uid="{DBCCC327-3974-4EFB-8B0C-9C7C6A49E426}"/>
    <cellStyle name="40% - Accent6 4 2 4" xfId="9238" xr:uid="{17AF7C8D-2DF6-4769-8929-FB98AC3A8D28}"/>
    <cellStyle name="40% - Accent6 4 3" xfId="1118" xr:uid="{00000000-0005-0000-0000-00005F070000}"/>
    <cellStyle name="40% - Accent6 4 3 2" xfId="3349" xr:uid="{00000000-0005-0000-0000-000060070000}"/>
    <cellStyle name="40% - Accent6 4 3 2 2" xfId="7572" xr:uid="{00000000-0005-0000-0000-000061070000}"/>
    <cellStyle name="40% - Accent6 4 3 2 2 2" xfId="16014" xr:uid="{85C4DDB5-FE9A-4154-89D2-A5C4F720E7AD}"/>
    <cellStyle name="40% - Accent6 4 3 2 3" xfId="11796" xr:uid="{6547823E-9C82-4715-BA0C-530591E69B0C}"/>
    <cellStyle name="40% - Accent6 4 3 3" xfId="5427" xr:uid="{00000000-0005-0000-0000-000062070000}"/>
    <cellStyle name="40% - Accent6 4 3 3 2" xfId="13869" xr:uid="{D0C521E5-2838-4C71-84F9-BFFF932968E2}"/>
    <cellStyle name="40% - Accent6 4 3 4" xfId="9651" xr:uid="{32223CF6-7766-4381-9523-74F09AECE6C5}"/>
    <cellStyle name="40% - Accent6 4 4" xfId="1532" xr:uid="{00000000-0005-0000-0000-000063070000}"/>
    <cellStyle name="40% - Accent6 4 4 2" xfId="3762" xr:uid="{00000000-0005-0000-0000-000064070000}"/>
    <cellStyle name="40% - Accent6 4 4 2 2" xfId="7985" xr:uid="{00000000-0005-0000-0000-000065070000}"/>
    <cellStyle name="40% - Accent6 4 4 2 2 2" xfId="16427" xr:uid="{8A720635-99BC-4AE2-A20B-71FD43E57C72}"/>
    <cellStyle name="40% - Accent6 4 4 2 3" xfId="12209" xr:uid="{F82B17E6-CA8A-422F-921C-3E4F1596EE46}"/>
    <cellStyle name="40% - Accent6 4 4 3" xfId="5840" xr:uid="{00000000-0005-0000-0000-000066070000}"/>
    <cellStyle name="40% - Accent6 4 4 3 2" xfId="14282" xr:uid="{0A6F6651-E68B-4F83-A68D-E5236EE16049}"/>
    <cellStyle name="40% - Accent6 4 4 4" xfId="10064" xr:uid="{BF8E3102-0174-4A8B-A91D-FC6BA7153924}"/>
    <cellStyle name="40% - Accent6 4 5" xfId="1946" xr:uid="{00000000-0005-0000-0000-000067070000}"/>
    <cellStyle name="40% - Accent6 4 5 2" xfId="4175" xr:uid="{00000000-0005-0000-0000-000068070000}"/>
    <cellStyle name="40% - Accent6 4 5 2 2" xfId="8398" xr:uid="{00000000-0005-0000-0000-000069070000}"/>
    <cellStyle name="40% - Accent6 4 5 2 2 2" xfId="16840" xr:uid="{856DE9AC-DD08-4911-A1F9-234B02FD61E3}"/>
    <cellStyle name="40% - Accent6 4 5 2 3" xfId="12622" xr:uid="{F055514B-CDF7-4346-8376-0D4E4DB3AAA7}"/>
    <cellStyle name="40% - Accent6 4 5 3" xfId="6253" xr:uid="{00000000-0005-0000-0000-00006A070000}"/>
    <cellStyle name="40% - Accent6 4 5 3 2" xfId="14695" xr:uid="{F2522FD5-4228-4942-9FA2-1A1F867CF804}"/>
    <cellStyle name="40% - Accent6 4 5 4" xfId="10477" xr:uid="{E34EDD0C-EF19-47E6-8065-676A186E9EEF}"/>
    <cellStyle name="40% - Accent6 4 6" xfId="2359" xr:uid="{00000000-0005-0000-0000-00006B070000}"/>
    <cellStyle name="40% - Accent6 4 6 2" xfId="6666" xr:uid="{00000000-0005-0000-0000-00006C070000}"/>
    <cellStyle name="40% - Accent6 4 6 2 2" xfId="15108" xr:uid="{D5C2D1E3-DD5D-4FC1-8937-DE2319205385}"/>
    <cellStyle name="40% - Accent6 4 6 3" xfId="10890" xr:uid="{6535BF4F-E864-4313-85BA-E337E83C8B0D}"/>
    <cellStyle name="40% - Accent6 4 7" xfId="4600" xr:uid="{00000000-0005-0000-0000-00006D070000}"/>
    <cellStyle name="40% - Accent6 4 7 2" xfId="13042" xr:uid="{D60C9D67-C191-4578-AA51-068D1C303A7B}"/>
    <cellStyle name="40% - Accent6 4 8" xfId="8824" xr:uid="{8AEC6A6D-1A6D-4678-AE5C-9E9A472443E9}"/>
    <cellStyle name="40% - Accent6 5" xfId="658" xr:uid="{00000000-0005-0000-0000-00006E070000}"/>
    <cellStyle name="40% - Accent6 5 2" xfId="2929" xr:uid="{00000000-0005-0000-0000-00006F070000}"/>
    <cellStyle name="40% - Accent6 5 2 2" xfId="7152" xr:uid="{00000000-0005-0000-0000-000070070000}"/>
    <cellStyle name="40% - Accent6 5 2 2 2" xfId="15594" xr:uid="{7533AB32-D7AA-41FA-A0E3-C517807FB8E8}"/>
    <cellStyle name="40% - Accent6 5 2 3" xfId="11376" xr:uid="{B138D0E2-9056-4344-B177-9212E0B985E4}"/>
    <cellStyle name="40% - Accent6 5 3" xfId="5007" xr:uid="{00000000-0005-0000-0000-000071070000}"/>
    <cellStyle name="40% - Accent6 5 3 2" xfId="13449" xr:uid="{B8D9C6F8-6B01-4109-93BF-319316A44C88}"/>
    <cellStyle name="40% - Accent6 5 4" xfId="9231" xr:uid="{416CC8B7-DD7E-46AD-BCDA-006A2A168741}"/>
    <cellStyle name="40% - Accent6 6" xfId="1111" xr:uid="{00000000-0005-0000-0000-000072070000}"/>
    <cellStyle name="40% - Accent6 6 2" xfId="3342" xr:uid="{00000000-0005-0000-0000-000073070000}"/>
    <cellStyle name="40% - Accent6 6 2 2" xfId="7565" xr:uid="{00000000-0005-0000-0000-000074070000}"/>
    <cellStyle name="40% - Accent6 6 2 2 2" xfId="16007" xr:uid="{916AF684-F301-4181-B200-E2FAAAFCF4D6}"/>
    <cellStyle name="40% - Accent6 6 2 3" xfId="11789" xr:uid="{C558E5CB-768C-43D0-BAF7-22E9B621696C}"/>
    <cellStyle name="40% - Accent6 6 3" xfId="5420" xr:uid="{00000000-0005-0000-0000-000075070000}"/>
    <cellStyle name="40% - Accent6 6 3 2" xfId="13862" xr:uid="{04F40E4E-DD4A-4AC9-800C-0758CAC67542}"/>
    <cellStyle name="40% - Accent6 6 4" xfId="9644" xr:uid="{D5450AE7-A2B4-4CBF-8FA2-D78F85467112}"/>
    <cellStyle name="40% - Accent6 7" xfId="1525" xr:uid="{00000000-0005-0000-0000-000076070000}"/>
    <cellStyle name="40% - Accent6 7 2" xfId="3755" xr:uid="{00000000-0005-0000-0000-000077070000}"/>
    <cellStyle name="40% - Accent6 7 2 2" xfId="7978" xr:uid="{00000000-0005-0000-0000-000078070000}"/>
    <cellStyle name="40% - Accent6 7 2 2 2" xfId="16420" xr:uid="{1A40CC81-4063-45BD-9361-CEA387789074}"/>
    <cellStyle name="40% - Accent6 7 2 3" xfId="12202" xr:uid="{D4FC5948-6ABF-43AD-AA80-92792FAF336F}"/>
    <cellStyle name="40% - Accent6 7 3" xfId="5833" xr:uid="{00000000-0005-0000-0000-000079070000}"/>
    <cellStyle name="40% - Accent6 7 3 2" xfId="14275" xr:uid="{C56D4B5D-A82D-4B33-BAC4-DA934D88263E}"/>
    <cellStyle name="40% - Accent6 7 4" xfId="10057" xr:uid="{23B84728-FAE2-47AE-88DE-6A70169C5477}"/>
    <cellStyle name="40% - Accent6 8" xfId="1939" xr:uid="{00000000-0005-0000-0000-00007A070000}"/>
    <cellStyle name="40% - Accent6 8 2" xfId="4168" xr:uid="{00000000-0005-0000-0000-00007B070000}"/>
    <cellStyle name="40% - Accent6 8 2 2" xfId="8391" xr:uid="{00000000-0005-0000-0000-00007C070000}"/>
    <cellStyle name="40% - Accent6 8 2 2 2" xfId="16833" xr:uid="{37048A2D-7F22-4411-8C7F-B476016F1E64}"/>
    <cellStyle name="40% - Accent6 8 2 3" xfId="12615" xr:uid="{8AFD8288-5976-4EF8-962A-53091047894B}"/>
    <cellStyle name="40% - Accent6 8 3" xfId="6246" xr:uid="{00000000-0005-0000-0000-00007D070000}"/>
    <cellStyle name="40% - Accent6 8 3 2" xfId="14688" xr:uid="{425489C8-83CC-440D-BA9C-4C14151581DD}"/>
    <cellStyle name="40% - Accent6 8 4" xfId="10470" xr:uid="{7E8AEAD9-B2BC-4F67-A2F6-2855AD473AB5}"/>
    <cellStyle name="40% - Accent6 9" xfId="2352" xr:uid="{00000000-0005-0000-0000-00007E070000}"/>
    <cellStyle name="40% - Accent6 9 2" xfId="6659" xr:uid="{00000000-0005-0000-0000-00007F070000}"/>
    <cellStyle name="40% - Accent6 9 2 2" xfId="15101" xr:uid="{A5979429-ACF5-4A8B-AEF0-C9482904DA91}"/>
    <cellStyle name="40% - Accent6 9 3" xfId="10883" xr:uid="{5D5B02E2-F35E-4998-905A-3E4EE2009475}"/>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0 2 2" xfId="15426" xr:uid="{C238337E-35D4-4B17-8800-FD3E5EF5A85E}"/>
    <cellStyle name="Comma 4 2 2 2 10 3" xfId="11208" xr:uid="{B3A1AD55-E655-4B59-993C-5C4CADF9708C}"/>
    <cellStyle name="Comma 4 2 2 2 11" xfId="4601" xr:uid="{00000000-0005-0000-0000-0000A3070000}"/>
    <cellStyle name="Comma 4 2 2 2 11 2" xfId="13043" xr:uid="{237AABA1-F4A4-4B9A-8D01-6AAF85B1316E}"/>
    <cellStyle name="Comma 4 2 2 2 12" xfId="8825" xr:uid="{FEB3AAEA-1647-40BC-845C-74E2792C9ABB}"/>
    <cellStyle name="Comma 4 2 2 2 2" xfId="129" xr:uid="{00000000-0005-0000-0000-0000A4070000}"/>
    <cellStyle name="Comma 4 2 2 2 2 10" xfId="4602" xr:uid="{00000000-0005-0000-0000-0000A5070000}"/>
    <cellStyle name="Comma 4 2 2 2 2 10 2" xfId="13044" xr:uid="{F8A390E4-9487-4323-B562-4FD4917BB388}"/>
    <cellStyle name="Comma 4 2 2 2 2 11" xfId="8826" xr:uid="{24437474-587B-44CC-9E64-8E674045F452}"/>
    <cellStyle name="Comma 4 2 2 2 2 2" xfId="130" xr:uid="{00000000-0005-0000-0000-0000A6070000}"/>
    <cellStyle name="Comma 4 2 2 2 2 2 10" xfId="8827" xr:uid="{B41FEF4B-471C-4973-9AF6-66A3C26CA198}"/>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2 2 2" xfId="15604" xr:uid="{5674A062-7598-47E8-BD56-0F05D9DED06A}"/>
    <cellStyle name="Comma 4 2 2 2 2 2 2 2 3" xfId="11386" xr:uid="{9F1B2AAE-4CA7-4BF9-8EAC-4E743D319A7E}"/>
    <cellStyle name="Comma 4 2 2 2 2 2 2 3" xfId="5017" xr:uid="{00000000-0005-0000-0000-0000AA070000}"/>
    <cellStyle name="Comma 4 2 2 2 2 2 2 3 2" xfId="13459" xr:uid="{EC808554-1D0E-4E43-91D1-8140E60F0FD4}"/>
    <cellStyle name="Comma 4 2 2 2 2 2 2 4" xfId="9241" xr:uid="{E5DF0BC0-D6D4-4711-BD5C-18D4CE923CA8}"/>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2 2 2" xfId="16017" xr:uid="{A8DC0C9E-B381-47F2-8375-1581E5C7F1A3}"/>
    <cellStyle name="Comma 4 2 2 2 2 2 3 2 3" xfId="11799" xr:uid="{008FE69C-B1BF-46D6-AED8-E09FC21A9C12}"/>
    <cellStyle name="Comma 4 2 2 2 2 2 3 3" xfId="5430" xr:uid="{00000000-0005-0000-0000-0000AE070000}"/>
    <cellStyle name="Comma 4 2 2 2 2 2 3 3 2" xfId="13872" xr:uid="{61797DB4-FAC8-47AA-8C69-C8C6EB9BEB38}"/>
    <cellStyle name="Comma 4 2 2 2 2 2 3 4" xfId="9654" xr:uid="{3BDAF0DB-A17D-4C71-AD53-54E5E5012ECE}"/>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2 2 2" xfId="16430" xr:uid="{B5AC51DC-B96E-486A-A9C3-63216123D8C3}"/>
    <cellStyle name="Comma 4 2 2 2 2 2 4 2 3" xfId="12212" xr:uid="{0E994A52-6A71-48BB-8D9B-30FABFF083F5}"/>
    <cellStyle name="Comma 4 2 2 2 2 2 4 3" xfId="5843" xr:uid="{00000000-0005-0000-0000-0000B2070000}"/>
    <cellStyle name="Comma 4 2 2 2 2 2 4 3 2" xfId="14285" xr:uid="{BE64E98D-89DF-4B9C-95C3-16F3EEAA7F34}"/>
    <cellStyle name="Comma 4 2 2 2 2 2 4 4" xfId="10067" xr:uid="{001773F8-8E21-45F3-A275-134AC9B03523}"/>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2 2 2" xfId="16843" xr:uid="{5A12E97D-BF75-4070-BF91-68FB020515C5}"/>
    <cellStyle name="Comma 4 2 2 2 2 2 5 2 3" xfId="12625" xr:uid="{BBC5AD74-138C-493F-A953-1E1001281925}"/>
    <cellStyle name="Comma 4 2 2 2 2 2 5 3" xfId="6256" xr:uid="{00000000-0005-0000-0000-0000B6070000}"/>
    <cellStyle name="Comma 4 2 2 2 2 2 5 3 2" xfId="14698" xr:uid="{58D6A94B-59A9-458E-B1DD-2BB296D64B5C}"/>
    <cellStyle name="Comma 4 2 2 2 2 2 5 4" xfId="10480" xr:uid="{E1F41EA9-B40C-4EA2-BD4F-B10DB4742215}"/>
    <cellStyle name="Comma 4 2 2 2 2 2 6" xfId="2384" xr:uid="{00000000-0005-0000-0000-0000B7070000}"/>
    <cellStyle name="Comma 4 2 2 2 2 2 6 2" xfId="6669" xr:uid="{00000000-0005-0000-0000-0000B8070000}"/>
    <cellStyle name="Comma 4 2 2 2 2 2 6 2 2" xfId="15111" xr:uid="{87B2AB6B-C7CD-4764-BFBD-D5BCCB0D7C7A}"/>
    <cellStyle name="Comma 4 2 2 2 2 2 6 3" xfId="10893" xr:uid="{273A7B55-3E8A-4114-A47B-B93CD9BD3D30}"/>
    <cellStyle name="Comma 4 2 2 2 2 2 7" xfId="2379" xr:uid="{00000000-0005-0000-0000-0000B9070000}"/>
    <cellStyle name="Comma 4 2 2 2 2 2 8" xfId="2762" xr:uid="{00000000-0005-0000-0000-0000BA070000}"/>
    <cellStyle name="Comma 4 2 2 2 2 2 8 2" xfId="6986" xr:uid="{00000000-0005-0000-0000-0000BB070000}"/>
    <cellStyle name="Comma 4 2 2 2 2 2 8 2 2" xfId="15428" xr:uid="{ADDFC274-A4F1-43FB-B36E-3D9B20971788}"/>
    <cellStyle name="Comma 4 2 2 2 2 2 8 3" xfId="11210" xr:uid="{988D1FCC-E0E8-4760-855E-AE717F0FD648}"/>
    <cellStyle name="Comma 4 2 2 2 2 2 9" xfId="4603" xr:uid="{00000000-0005-0000-0000-0000BC070000}"/>
    <cellStyle name="Comma 4 2 2 2 2 2 9 2" xfId="13045" xr:uid="{DA076DC4-FE74-457B-A55B-6904E5690D00}"/>
    <cellStyle name="Comma 4 2 2 2 2 3" xfId="667" xr:uid="{00000000-0005-0000-0000-0000BD070000}"/>
    <cellStyle name="Comma 4 2 2 2 2 3 2" xfId="2938" xr:uid="{00000000-0005-0000-0000-0000BE070000}"/>
    <cellStyle name="Comma 4 2 2 2 2 3 2 2" xfId="7161" xr:uid="{00000000-0005-0000-0000-0000BF070000}"/>
    <cellStyle name="Comma 4 2 2 2 2 3 2 2 2" xfId="15603" xr:uid="{BDAA0C7E-7C81-4CBE-B534-8F77EAB0A699}"/>
    <cellStyle name="Comma 4 2 2 2 2 3 2 3" xfId="11385" xr:uid="{D3CAAC38-E2D8-4220-BC40-80B8EE3D08ED}"/>
    <cellStyle name="Comma 4 2 2 2 2 3 3" xfId="5016" xr:uid="{00000000-0005-0000-0000-0000C0070000}"/>
    <cellStyle name="Comma 4 2 2 2 2 3 3 2" xfId="13458" xr:uid="{2D07EB4A-A072-4E94-84C9-DEE8395022A2}"/>
    <cellStyle name="Comma 4 2 2 2 2 3 4" xfId="9240" xr:uid="{57B20B33-2023-4848-AD59-0C8EAB159B02}"/>
    <cellStyle name="Comma 4 2 2 2 2 4" xfId="1120" xr:uid="{00000000-0005-0000-0000-0000C1070000}"/>
    <cellStyle name="Comma 4 2 2 2 2 4 2" xfId="3351" xr:uid="{00000000-0005-0000-0000-0000C2070000}"/>
    <cellStyle name="Comma 4 2 2 2 2 4 2 2" xfId="7574" xr:uid="{00000000-0005-0000-0000-0000C3070000}"/>
    <cellStyle name="Comma 4 2 2 2 2 4 2 2 2" xfId="16016" xr:uid="{884E8204-0853-41C8-A8BA-1EC970A69E87}"/>
    <cellStyle name="Comma 4 2 2 2 2 4 2 3" xfId="11798" xr:uid="{26551193-64E5-4196-B157-70877FE23DE1}"/>
    <cellStyle name="Comma 4 2 2 2 2 4 3" xfId="5429" xr:uid="{00000000-0005-0000-0000-0000C4070000}"/>
    <cellStyle name="Comma 4 2 2 2 2 4 3 2" xfId="13871" xr:uid="{A2A37EA4-68A3-443D-8201-3D81A405F758}"/>
    <cellStyle name="Comma 4 2 2 2 2 4 4" xfId="9653" xr:uid="{E1C40B1F-5C48-4605-B455-161E1D2B0399}"/>
    <cellStyle name="Comma 4 2 2 2 2 5" xfId="1534" xr:uid="{00000000-0005-0000-0000-0000C5070000}"/>
    <cellStyle name="Comma 4 2 2 2 2 5 2" xfId="3764" xr:uid="{00000000-0005-0000-0000-0000C6070000}"/>
    <cellStyle name="Comma 4 2 2 2 2 5 2 2" xfId="7987" xr:uid="{00000000-0005-0000-0000-0000C7070000}"/>
    <cellStyle name="Comma 4 2 2 2 2 5 2 2 2" xfId="16429" xr:uid="{69427B9D-13D4-4898-87F3-C34B62BBE556}"/>
    <cellStyle name="Comma 4 2 2 2 2 5 2 3" xfId="12211" xr:uid="{7F05F704-4990-4ADA-BBC8-6CE20BFB5C0B}"/>
    <cellStyle name="Comma 4 2 2 2 2 5 3" xfId="5842" xr:uid="{00000000-0005-0000-0000-0000C8070000}"/>
    <cellStyle name="Comma 4 2 2 2 2 5 3 2" xfId="14284" xr:uid="{EC94E7EB-8F2E-4EEC-8181-246505F7B503}"/>
    <cellStyle name="Comma 4 2 2 2 2 5 4" xfId="10066" xr:uid="{AF06F95D-38C3-4B57-BBD9-6A103D0ED140}"/>
    <cellStyle name="Comma 4 2 2 2 2 6" xfId="1948" xr:uid="{00000000-0005-0000-0000-0000C9070000}"/>
    <cellStyle name="Comma 4 2 2 2 2 6 2" xfId="4177" xr:uid="{00000000-0005-0000-0000-0000CA070000}"/>
    <cellStyle name="Comma 4 2 2 2 2 6 2 2" xfId="8400" xr:uid="{00000000-0005-0000-0000-0000CB070000}"/>
    <cellStyle name="Comma 4 2 2 2 2 6 2 2 2" xfId="16842" xr:uid="{658459A3-1AB6-46E1-8136-3805C44ADDF9}"/>
    <cellStyle name="Comma 4 2 2 2 2 6 2 3" xfId="12624" xr:uid="{1D369886-D5C8-488F-8B6C-92AFC3213A77}"/>
    <cellStyle name="Comma 4 2 2 2 2 6 3" xfId="6255" xr:uid="{00000000-0005-0000-0000-0000CC070000}"/>
    <cellStyle name="Comma 4 2 2 2 2 6 3 2" xfId="14697" xr:uid="{B7218DFB-A733-4BE4-B9C9-A94A49DBCC77}"/>
    <cellStyle name="Comma 4 2 2 2 2 6 4" xfId="10479" xr:uid="{19EC3FEA-E317-4255-B841-F2BC314E186D}"/>
    <cellStyle name="Comma 4 2 2 2 2 7" xfId="2383" xr:uid="{00000000-0005-0000-0000-0000CD070000}"/>
    <cellStyle name="Comma 4 2 2 2 2 7 2" xfId="6668" xr:uid="{00000000-0005-0000-0000-0000CE070000}"/>
    <cellStyle name="Comma 4 2 2 2 2 7 2 2" xfId="15110" xr:uid="{03E99A44-48AA-4202-A27B-4D815C04E0B2}"/>
    <cellStyle name="Comma 4 2 2 2 2 7 3" xfId="10892" xr:uid="{7D42B02C-FAFD-4EDE-B79C-48A09298F28B}"/>
    <cellStyle name="Comma 4 2 2 2 2 8" xfId="2380" xr:uid="{00000000-0005-0000-0000-0000CF070000}"/>
    <cellStyle name="Comma 4 2 2 2 2 9" xfId="2761" xr:uid="{00000000-0005-0000-0000-0000D0070000}"/>
    <cellStyle name="Comma 4 2 2 2 2 9 2" xfId="6985" xr:uid="{00000000-0005-0000-0000-0000D1070000}"/>
    <cellStyle name="Comma 4 2 2 2 2 9 2 2" xfId="15427" xr:uid="{0A2C0D7B-090B-411B-BE6F-ACB4350E2922}"/>
    <cellStyle name="Comma 4 2 2 2 2 9 3" xfId="11209" xr:uid="{63FFC41B-405C-4B32-A7FB-263BD959AB69}"/>
    <cellStyle name="Comma 4 2 2 2 3" xfId="131" xr:uid="{00000000-0005-0000-0000-0000D2070000}"/>
    <cellStyle name="Comma 4 2 2 2 3 10" xfId="8828" xr:uid="{EA94E4DA-A6B7-4CA1-8DC4-DE29B2BFAE42}"/>
    <cellStyle name="Comma 4 2 2 2 3 2" xfId="669" xr:uid="{00000000-0005-0000-0000-0000D3070000}"/>
    <cellStyle name="Comma 4 2 2 2 3 2 2" xfId="2940" xr:uid="{00000000-0005-0000-0000-0000D4070000}"/>
    <cellStyle name="Comma 4 2 2 2 3 2 2 2" xfId="7163" xr:uid="{00000000-0005-0000-0000-0000D5070000}"/>
    <cellStyle name="Comma 4 2 2 2 3 2 2 2 2" xfId="15605" xr:uid="{ECF886D4-0853-4544-AA3A-9F7052CE9CF4}"/>
    <cellStyle name="Comma 4 2 2 2 3 2 2 3" xfId="11387" xr:uid="{AE68A3A6-CEBB-4B16-954D-6540864F9CE5}"/>
    <cellStyle name="Comma 4 2 2 2 3 2 3" xfId="5018" xr:uid="{00000000-0005-0000-0000-0000D6070000}"/>
    <cellStyle name="Comma 4 2 2 2 3 2 3 2" xfId="13460" xr:uid="{DC873037-7E8F-404B-A33F-FC139ADAD58F}"/>
    <cellStyle name="Comma 4 2 2 2 3 2 4" xfId="9242" xr:uid="{0FCFB191-BF95-4EB5-813A-0956F26163E3}"/>
    <cellStyle name="Comma 4 2 2 2 3 3" xfId="1122" xr:uid="{00000000-0005-0000-0000-0000D7070000}"/>
    <cellStyle name="Comma 4 2 2 2 3 3 2" xfId="3353" xr:uid="{00000000-0005-0000-0000-0000D8070000}"/>
    <cellStyle name="Comma 4 2 2 2 3 3 2 2" xfId="7576" xr:uid="{00000000-0005-0000-0000-0000D9070000}"/>
    <cellStyle name="Comma 4 2 2 2 3 3 2 2 2" xfId="16018" xr:uid="{57C6406D-BC3C-4E9B-8812-44E293D041A7}"/>
    <cellStyle name="Comma 4 2 2 2 3 3 2 3" xfId="11800" xr:uid="{3620C2F4-809A-4E7E-9208-B66DF4DF3282}"/>
    <cellStyle name="Comma 4 2 2 2 3 3 3" xfId="5431" xr:uid="{00000000-0005-0000-0000-0000DA070000}"/>
    <cellStyle name="Comma 4 2 2 2 3 3 3 2" xfId="13873" xr:uid="{F5BF0CD7-6BC7-418E-8D47-6C429EB3EF80}"/>
    <cellStyle name="Comma 4 2 2 2 3 3 4" xfId="9655" xr:uid="{8C7C3165-83AC-4113-B8D2-8B9976F3F388}"/>
    <cellStyle name="Comma 4 2 2 2 3 4" xfId="1536" xr:uid="{00000000-0005-0000-0000-0000DB070000}"/>
    <cellStyle name="Comma 4 2 2 2 3 4 2" xfId="3766" xr:uid="{00000000-0005-0000-0000-0000DC070000}"/>
    <cellStyle name="Comma 4 2 2 2 3 4 2 2" xfId="7989" xr:uid="{00000000-0005-0000-0000-0000DD070000}"/>
    <cellStyle name="Comma 4 2 2 2 3 4 2 2 2" xfId="16431" xr:uid="{F5D6E67C-F23C-4256-8B27-41D253662220}"/>
    <cellStyle name="Comma 4 2 2 2 3 4 2 3" xfId="12213" xr:uid="{8A2A8165-976C-4D0A-8C1F-F0BD4327F6B1}"/>
    <cellStyle name="Comma 4 2 2 2 3 4 3" xfId="5844" xr:uid="{00000000-0005-0000-0000-0000DE070000}"/>
    <cellStyle name="Comma 4 2 2 2 3 4 3 2" xfId="14286" xr:uid="{D4431BD5-4384-4D62-BB73-F13C015EBFCF}"/>
    <cellStyle name="Comma 4 2 2 2 3 4 4" xfId="10068" xr:uid="{B5606D17-3A59-437E-9AC3-D87E3D59CBC5}"/>
    <cellStyle name="Comma 4 2 2 2 3 5" xfId="1950" xr:uid="{00000000-0005-0000-0000-0000DF070000}"/>
    <cellStyle name="Comma 4 2 2 2 3 5 2" xfId="4179" xr:uid="{00000000-0005-0000-0000-0000E0070000}"/>
    <cellStyle name="Comma 4 2 2 2 3 5 2 2" xfId="8402" xr:uid="{00000000-0005-0000-0000-0000E1070000}"/>
    <cellStyle name="Comma 4 2 2 2 3 5 2 2 2" xfId="16844" xr:uid="{0D2C77BE-91C5-41B9-8FA2-7F005BC0D2EF}"/>
    <cellStyle name="Comma 4 2 2 2 3 5 2 3" xfId="12626" xr:uid="{A24493C0-BD7A-4DB6-99C9-AC617A5A1898}"/>
    <cellStyle name="Comma 4 2 2 2 3 5 3" xfId="6257" xr:uid="{00000000-0005-0000-0000-0000E2070000}"/>
    <cellStyle name="Comma 4 2 2 2 3 5 3 2" xfId="14699" xr:uid="{BFAAB9F2-BDA4-4D29-A30D-7BBA85D73702}"/>
    <cellStyle name="Comma 4 2 2 2 3 5 4" xfId="10481" xr:uid="{1FA454D1-478D-455A-8C16-BF615D3BBB1E}"/>
    <cellStyle name="Comma 4 2 2 2 3 6" xfId="2385" xr:uid="{00000000-0005-0000-0000-0000E3070000}"/>
    <cellStyle name="Comma 4 2 2 2 3 6 2" xfId="6670" xr:uid="{00000000-0005-0000-0000-0000E4070000}"/>
    <cellStyle name="Comma 4 2 2 2 3 6 2 2" xfId="15112" xr:uid="{58858624-1E5F-428E-9237-78D3AE173202}"/>
    <cellStyle name="Comma 4 2 2 2 3 6 3" xfId="10894" xr:uid="{9DD12E22-3E96-404B-B936-AF55A5CFB42F}"/>
    <cellStyle name="Comma 4 2 2 2 3 7" xfId="2378" xr:uid="{00000000-0005-0000-0000-0000E5070000}"/>
    <cellStyle name="Comma 4 2 2 2 3 8" xfId="2763" xr:uid="{00000000-0005-0000-0000-0000E6070000}"/>
    <cellStyle name="Comma 4 2 2 2 3 8 2" xfId="6987" xr:uid="{00000000-0005-0000-0000-0000E7070000}"/>
    <cellStyle name="Comma 4 2 2 2 3 8 2 2" xfId="15429" xr:uid="{7B98B3B7-FB39-4C75-B925-6AAC7D5D8AB2}"/>
    <cellStyle name="Comma 4 2 2 2 3 8 3" xfId="11211" xr:uid="{54CFB630-B460-463A-85C6-E8B9A5DF8201}"/>
    <cellStyle name="Comma 4 2 2 2 3 9" xfId="4604" xr:uid="{00000000-0005-0000-0000-0000E8070000}"/>
    <cellStyle name="Comma 4 2 2 2 3 9 2" xfId="13046" xr:uid="{D08642D5-65D2-4B4B-9AE8-63B3653DBA28}"/>
    <cellStyle name="Comma 4 2 2 2 4" xfId="666" xr:uid="{00000000-0005-0000-0000-0000E9070000}"/>
    <cellStyle name="Comma 4 2 2 2 4 2" xfId="2937" xr:uid="{00000000-0005-0000-0000-0000EA070000}"/>
    <cellStyle name="Comma 4 2 2 2 4 2 2" xfId="7160" xr:uid="{00000000-0005-0000-0000-0000EB070000}"/>
    <cellStyle name="Comma 4 2 2 2 4 2 2 2" xfId="15602" xr:uid="{DC3CF4A0-8171-492F-BEAF-324EE05979C2}"/>
    <cellStyle name="Comma 4 2 2 2 4 2 3" xfId="11384" xr:uid="{3705FA67-9824-45E7-B364-59A15411D1B0}"/>
    <cellStyle name="Comma 4 2 2 2 4 3" xfId="5015" xr:uid="{00000000-0005-0000-0000-0000EC070000}"/>
    <cellStyle name="Comma 4 2 2 2 4 3 2" xfId="13457" xr:uid="{6CD97920-7519-4E59-8731-EB0A2D364BB4}"/>
    <cellStyle name="Comma 4 2 2 2 4 4" xfId="9239" xr:uid="{BD0DA0A3-6C70-439C-A12A-43E9CF3DB3C9}"/>
    <cellStyle name="Comma 4 2 2 2 5" xfId="1119" xr:uid="{00000000-0005-0000-0000-0000ED070000}"/>
    <cellStyle name="Comma 4 2 2 2 5 2" xfId="3350" xr:uid="{00000000-0005-0000-0000-0000EE070000}"/>
    <cellStyle name="Comma 4 2 2 2 5 2 2" xfId="7573" xr:uid="{00000000-0005-0000-0000-0000EF070000}"/>
    <cellStyle name="Comma 4 2 2 2 5 2 2 2" xfId="16015" xr:uid="{FE442176-C0E9-438A-BC9F-3A9AE252F78D}"/>
    <cellStyle name="Comma 4 2 2 2 5 2 3" xfId="11797" xr:uid="{5030CA6D-C4F4-4EDC-A727-8A4BD512468E}"/>
    <cellStyle name="Comma 4 2 2 2 5 3" xfId="5428" xr:uid="{00000000-0005-0000-0000-0000F0070000}"/>
    <cellStyle name="Comma 4 2 2 2 5 3 2" xfId="13870" xr:uid="{385E67FA-69A8-4353-9C19-334D328DC2BD}"/>
    <cellStyle name="Comma 4 2 2 2 5 4" xfId="9652" xr:uid="{8C99E5F3-D7E1-46F3-9F37-26CCF67F6685}"/>
    <cellStyle name="Comma 4 2 2 2 6" xfId="1533" xr:uid="{00000000-0005-0000-0000-0000F1070000}"/>
    <cellStyle name="Comma 4 2 2 2 6 2" xfId="3763" xr:uid="{00000000-0005-0000-0000-0000F2070000}"/>
    <cellStyle name="Comma 4 2 2 2 6 2 2" xfId="7986" xr:uid="{00000000-0005-0000-0000-0000F3070000}"/>
    <cellStyle name="Comma 4 2 2 2 6 2 2 2" xfId="16428" xr:uid="{B2BF3CF0-C4BA-4BDB-BD8D-B3199155B45A}"/>
    <cellStyle name="Comma 4 2 2 2 6 2 3" xfId="12210" xr:uid="{7D5FDCA1-5596-41CC-BF81-0ACFB7B6EFCC}"/>
    <cellStyle name="Comma 4 2 2 2 6 3" xfId="5841" xr:uid="{00000000-0005-0000-0000-0000F4070000}"/>
    <cellStyle name="Comma 4 2 2 2 6 3 2" xfId="14283" xr:uid="{C8AD6B2D-106F-4535-BBE2-FE72D2D54124}"/>
    <cellStyle name="Comma 4 2 2 2 6 4" xfId="10065" xr:uid="{5FCE87F0-BF52-4B25-9A54-616CC13442C8}"/>
    <cellStyle name="Comma 4 2 2 2 7" xfId="1947" xr:uid="{00000000-0005-0000-0000-0000F5070000}"/>
    <cellStyle name="Comma 4 2 2 2 7 2" xfId="4176" xr:uid="{00000000-0005-0000-0000-0000F6070000}"/>
    <cellStyle name="Comma 4 2 2 2 7 2 2" xfId="8399" xr:uid="{00000000-0005-0000-0000-0000F7070000}"/>
    <cellStyle name="Comma 4 2 2 2 7 2 2 2" xfId="16841" xr:uid="{B5F43326-C703-4C69-A18C-E2320879D722}"/>
    <cellStyle name="Comma 4 2 2 2 7 2 3" xfId="12623" xr:uid="{06F7A049-D542-4395-95B7-9A73547A4A1A}"/>
    <cellStyle name="Comma 4 2 2 2 7 3" xfId="6254" xr:uid="{00000000-0005-0000-0000-0000F8070000}"/>
    <cellStyle name="Comma 4 2 2 2 7 3 2" xfId="14696" xr:uid="{D1F3E1F6-7912-4FCF-8781-E382CDAD94D1}"/>
    <cellStyle name="Comma 4 2 2 2 7 4" xfId="10478" xr:uid="{FED33877-2A73-4410-B152-7B9934CE3354}"/>
    <cellStyle name="Comma 4 2 2 2 8" xfId="2382" xr:uid="{00000000-0005-0000-0000-0000F9070000}"/>
    <cellStyle name="Comma 4 2 2 2 8 2" xfId="6667" xr:uid="{00000000-0005-0000-0000-0000FA070000}"/>
    <cellStyle name="Comma 4 2 2 2 8 2 2" xfId="15109" xr:uid="{E5D632CE-10AD-4392-AEB6-E8672D041114}"/>
    <cellStyle name="Comma 4 2 2 2 8 3" xfId="10891" xr:uid="{99510D0B-A5EB-495B-9344-48E3E2A663E4}"/>
    <cellStyle name="Comma 4 2 2 2 9" xfId="2381" xr:uid="{00000000-0005-0000-0000-0000FB070000}"/>
    <cellStyle name="Comma 4 2 2 3" xfId="132" xr:uid="{00000000-0005-0000-0000-0000FC070000}"/>
    <cellStyle name="Comma 4 2 2 3 10" xfId="4605" xr:uid="{00000000-0005-0000-0000-0000FD070000}"/>
    <cellStyle name="Comma 4 2 2 3 10 2" xfId="13047" xr:uid="{A37057FC-9F12-4C49-89C2-83947E253674}"/>
    <cellStyle name="Comma 4 2 2 3 11" xfId="8829" xr:uid="{87880AB2-2383-42F2-B47D-009D54F8EF8B}"/>
    <cellStyle name="Comma 4 2 2 3 2" xfId="133" xr:uid="{00000000-0005-0000-0000-0000FE070000}"/>
    <cellStyle name="Comma 4 2 2 3 2 10" xfId="8830" xr:uid="{03B858F1-B037-4C34-A97A-6EA8C3570AB2}"/>
    <cellStyle name="Comma 4 2 2 3 2 2" xfId="671" xr:uid="{00000000-0005-0000-0000-0000FF070000}"/>
    <cellStyle name="Comma 4 2 2 3 2 2 2" xfId="2942" xr:uid="{00000000-0005-0000-0000-000000080000}"/>
    <cellStyle name="Comma 4 2 2 3 2 2 2 2" xfId="7165" xr:uid="{00000000-0005-0000-0000-000001080000}"/>
    <cellStyle name="Comma 4 2 2 3 2 2 2 2 2" xfId="15607" xr:uid="{15F22345-AAB7-48F3-91BD-1056086B6456}"/>
    <cellStyle name="Comma 4 2 2 3 2 2 2 3" xfId="11389" xr:uid="{31490DCA-4132-4B65-B803-F078D9EE1C13}"/>
    <cellStyle name="Comma 4 2 2 3 2 2 3" xfId="5020" xr:uid="{00000000-0005-0000-0000-000002080000}"/>
    <cellStyle name="Comma 4 2 2 3 2 2 3 2" xfId="13462" xr:uid="{3161C642-0847-4CFA-BED7-5BC67C5F750C}"/>
    <cellStyle name="Comma 4 2 2 3 2 2 4" xfId="9244" xr:uid="{F6699D12-8954-4868-8A11-E76B59D862C9}"/>
    <cellStyle name="Comma 4 2 2 3 2 3" xfId="1124" xr:uid="{00000000-0005-0000-0000-000003080000}"/>
    <cellStyle name="Comma 4 2 2 3 2 3 2" xfId="3355" xr:uid="{00000000-0005-0000-0000-000004080000}"/>
    <cellStyle name="Comma 4 2 2 3 2 3 2 2" xfId="7578" xr:uid="{00000000-0005-0000-0000-000005080000}"/>
    <cellStyle name="Comma 4 2 2 3 2 3 2 2 2" xfId="16020" xr:uid="{807B673A-D106-4301-B875-01C5B14B04A9}"/>
    <cellStyle name="Comma 4 2 2 3 2 3 2 3" xfId="11802" xr:uid="{67FF53B2-01A7-404F-B44A-075272D505DB}"/>
    <cellStyle name="Comma 4 2 2 3 2 3 3" xfId="5433" xr:uid="{00000000-0005-0000-0000-000006080000}"/>
    <cellStyle name="Comma 4 2 2 3 2 3 3 2" xfId="13875" xr:uid="{BAF80246-E17C-4672-A0C5-46B4662950D2}"/>
    <cellStyle name="Comma 4 2 2 3 2 3 4" xfId="9657" xr:uid="{0D33754C-0B3B-45CC-9DA0-B416491D778D}"/>
    <cellStyle name="Comma 4 2 2 3 2 4" xfId="1538" xr:uid="{00000000-0005-0000-0000-000007080000}"/>
    <cellStyle name="Comma 4 2 2 3 2 4 2" xfId="3768" xr:uid="{00000000-0005-0000-0000-000008080000}"/>
    <cellStyle name="Comma 4 2 2 3 2 4 2 2" xfId="7991" xr:uid="{00000000-0005-0000-0000-000009080000}"/>
    <cellStyle name="Comma 4 2 2 3 2 4 2 2 2" xfId="16433" xr:uid="{3D4613BA-C05A-4EA5-9C7B-89919C2BA370}"/>
    <cellStyle name="Comma 4 2 2 3 2 4 2 3" xfId="12215" xr:uid="{05C0B64D-B7E1-441B-9196-734BB0146FCD}"/>
    <cellStyle name="Comma 4 2 2 3 2 4 3" xfId="5846" xr:uid="{00000000-0005-0000-0000-00000A080000}"/>
    <cellStyle name="Comma 4 2 2 3 2 4 3 2" xfId="14288" xr:uid="{B4FF35C3-6DE8-44EE-BEB9-F14507DCF18C}"/>
    <cellStyle name="Comma 4 2 2 3 2 4 4" xfId="10070" xr:uid="{4C85267C-275D-4CAE-B3DA-3F45D315472E}"/>
    <cellStyle name="Comma 4 2 2 3 2 5" xfId="1952" xr:uid="{00000000-0005-0000-0000-00000B080000}"/>
    <cellStyle name="Comma 4 2 2 3 2 5 2" xfId="4181" xr:uid="{00000000-0005-0000-0000-00000C080000}"/>
    <cellStyle name="Comma 4 2 2 3 2 5 2 2" xfId="8404" xr:uid="{00000000-0005-0000-0000-00000D080000}"/>
    <cellStyle name="Comma 4 2 2 3 2 5 2 2 2" xfId="16846" xr:uid="{CAFAE65D-C1F6-4380-B6FF-10FB3357DFEF}"/>
    <cellStyle name="Comma 4 2 2 3 2 5 2 3" xfId="12628" xr:uid="{C50FEB69-FF59-4772-8209-07981530A7EA}"/>
    <cellStyle name="Comma 4 2 2 3 2 5 3" xfId="6259" xr:uid="{00000000-0005-0000-0000-00000E080000}"/>
    <cellStyle name="Comma 4 2 2 3 2 5 3 2" xfId="14701" xr:uid="{F220F2C2-B57E-4298-AF8D-969D0C281769}"/>
    <cellStyle name="Comma 4 2 2 3 2 5 4" xfId="10483" xr:uid="{50F9D2FA-3306-41EE-82D5-8854FD7AA38A}"/>
    <cellStyle name="Comma 4 2 2 3 2 6" xfId="2387" xr:uid="{00000000-0005-0000-0000-00000F080000}"/>
    <cellStyle name="Comma 4 2 2 3 2 6 2" xfId="6672" xr:uid="{00000000-0005-0000-0000-000010080000}"/>
    <cellStyle name="Comma 4 2 2 3 2 6 2 2" xfId="15114" xr:uid="{7DC39CE7-649F-4511-892F-D7DE4FDB841B}"/>
    <cellStyle name="Comma 4 2 2 3 2 6 3" xfId="10896" xr:uid="{7C0FF259-2BE6-49AD-8BA3-657099510929}"/>
    <cellStyle name="Comma 4 2 2 3 2 7" xfId="2376" xr:uid="{00000000-0005-0000-0000-000011080000}"/>
    <cellStyle name="Comma 4 2 2 3 2 8" xfId="2765" xr:uid="{00000000-0005-0000-0000-000012080000}"/>
    <cellStyle name="Comma 4 2 2 3 2 8 2" xfId="6989" xr:uid="{00000000-0005-0000-0000-000013080000}"/>
    <cellStyle name="Comma 4 2 2 3 2 8 2 2" xfId="15431" xr:uid="{5327782D-9B7A-4A16-B594-4890A7C28AFC}"/>
    <cellStyle name="Comma 4 2 2 3 2 8 3" xfId="11213" xr:uid="{8B98223A-90F6-4300-AEF7-D4FE04558681}"/>
    <cellStyle name="Comma 4 2 2 3 2 9" xfId="4606" xr:uid="{00000000-0005-0000-0000-000014080000}"/>
    <cellStyle name="Comma 4 2 2 3 2 9 2" xfId="13048" xr:uid="{964387B3-F1E5-4905-8A6D-F0829EBBA465}"/>
    <cellStyle name="Comma 4 2 2 3 3" xfId="670" xr:uid="{00000000-0005-0000-0000-000015080000}"/>
    <cellStyle name="Comma 4 2 2 3 3 2" xfId="2941" xr:uid="{00000000-0005-0000-0000-000016080000}"/>
    <cellStyle name="Comma 4 2 2 3 3 2 2" xfId="7164" xr:uid="{00000000-0005-0000-0000-000017080000}"/>
    <cellStyle name="Comma 4 2 2 3 3 2 2 2" xfId="15606" xr:uid="{D02C900B-764D-406E-A3BA-F2B37D9D17AB}"/>
    <cellStyle name="Comma 4 2 2 3 3 2 3" xfId="11388" xr:uid="{EF19593C-87AC-4A31-BE83-6C49EE49FA73}"/>
    <cellStyle name="Comma 4 2 2 3 3 3" xfId="5019" xr:uid="{00000000-0005-0000-0000-000018080000}"/>
    <cellStyle name="Comma 4 2 2 3 3 3 2" xfId="13461" xr:uid="{CF8ACC2C-425F-4C7D-B3C4-6B819856DAFB}"/>
    <cellStyle name="Comma 4 2 2 3 3 4" xfId="9243" xr:uid="{10C4CB2F-4F68-47EF-92AB-ECE6664CEE8A}"/>
    <cellStyle name="Comma 4 2 2 3 4" xfId="1123" xr:uid="{00000000-0005-0000-0000-000019080000}"/>
    <cellStyle name="Comma 4 2 2 3 4 2" xfId="3354" xr:uid="{00000000-0005-0000-0000-00001A080000}"/>
    <cellStyle name="Comma 4 2 2 3 4 2 2" xfId="7577" xr:uid="{00000000-0005-0000-0000-00001B080000}"/>
    <cellStyle name="Comma 4 2 2 3 4 2 2 2" xfId="16019" xr:uid="{AFFCDFAE-F440-4393-8C05-3C76D918B3E4}"/>
    <cellStyle name="Comma 4 2 2 3 4 2 3" xfId="11801" xr:uid="{9AF2CF6A-158C-4EA3-87F4-C5D031CCF793}"/>
    <cellStyle name="Comma 4 2 2 3 4 3" xfId="5432" xr:uid="{00000000-0005-0000-0000-00001C080000}"/>
    <cellStyle name="Comma 4 2 2 3 4 3 2" xfId="13874" xr:uid="{036C4899-22A1-44B1-B5D3-724D279014E3}"/>
    <cellStyle name="Comma 4 2 2 3 4 4" xfId="9656" xr:uid="{4C5E5133-18E0-43B9-8B69-7F0ED59EAC24}"/>
    <cellStyle name="Comma 4 2 2 3 5" xfId="1537" xr:uid="{00000000-0005-0000-0000-00001D080000}"/>
    <cellStyle name="Comma 4 2 2 3 5 2" xfId="3767" xr:uid="{00000000-0005-0000-0000-00001E080000}"/>
    <cellStyle name="Comma 4 2 2 3 5 2 2" xfId="7990" xr:uid="{00000000-0005-0000-0000-00001F080000}"/>
    <cellStyle name="Comma 4 2 2 3 5 2 2 2" xfId="16432" xr:uid="{E5BBF195-157A-4AA2-9C3E-4AD603B042CC}"/>
    <cellStyle name="Comma 4 2 2 3 5 2 3" xfId="12214" xr:uid="{6B2E57D5-4F7D-4A40-8E02-BF3536BE2B15}"/>
    <cellStyle name="Comma 4 2 2 3 5 3" xfId="5845" xr:uid="{00000000-0005-0000-0000-000020080000}"/>
    <cellStyle name="Comma 4 2 2 3 5 3 2" xfId="14287" xr:uid="{BF8605AC-F589-4C2E-8F2B-DA9FE034C89E}"/>
    <cellStyle name="Comma 4 2 2 3 5 4" xfId="10069" xr:uid="{4037C741-137D-41DF-99F9-8C1A873640A7}"/>
    <cellStyle name="Comma 4 2 2 3 6" xfId="1951" xr:uid="{00000000-0005-0000-0000-000021080000}"/>
    <cellStyle name="Comma 4 2 2 3 6 2" xfId="4180" xr:uid="{00000000-0005-0000-0000-000022080000}"/>
    <cellStyle name="Comma 4 2 2 3 6 2 2" xfId="8403" xr:uid="{00000000-0005-0000-0000-000023080000}"/>
    <cellStyle name="Comma 4 2 2 3 6 2 2 2" xfId="16845" xr:uid="{8669DD30-4216-45E6-BE12-E5F453457B6C}"/>
    <cellStyle name="Comma 4 2 2 3 6 2 3" xfId="12627" xr:uid="{65D921DB-3B6D-4B87-9BF6-2376D9E10BEA}"/>
    <cellStyle name="Comma 4 2 2 3 6 3" xfId="6258" xr:uid="{00000000-0005-0000-0000-000024080000}"/>
    <cellStyle name="Comma 4 2 2 3 6 3 2" xfId="14700" xr:uid="{3F4EBE77-B2F8-4D84-BCBE-39B539821929}"/>
    <cellStyle name="Comma 4 2 2 3 6 4" xfId="10482" xr:uid="{A2FBBDC5-533B-481D-8369-B02E4E1E26E8}"/>
    <cellStyle name="Comma 4 2 2 3 7" xfId="2386" xr:uid="{00000000-0005-0000-0000-000025080000}"/>
    <cellStyle name="Comma 4 2 2 3 7 2" xfId="6671" xr:uid="{00000000-0005-0000-0000-000026080000}"/>
    <cellStyle name="Comma 4 2 2 3 7 2 2" xfId="15113" xr:uid="{635B09D4-58EA-4BFC-B966-85F292D1B2B8}"/>
    <cellStyle name="Comma 4 2 2 3 7 3" xfId="10895" xr:uid="{5939DCF5-DA33-4A5D-9208-43B1A8B5FE62}"/>
    <cellStyle name="Comma 4 2 2 3 8" xfId="2377" xr:uid="{00000000-0005-0000-0000-000027080000}"/>
    <cellStyle name="Comma 4 2 2 3 9" xfId="2764" xr:uid="{00000000-0005-0000-0000-000028080000}"/>
    <cellStyle name="Comma 4 2 2 3 9 2" xfId="6988" xr:uid="{00000000-0005-0000-0000-000029080000}"/>
    <cellStyle name="Comma 4 2 2 3 9 2 2" xfId="15430" xr:uid="{343B968E-43B6-4104-A354-51AF0D7D342D}"/>
    <cellStyle name="Comma 4 2 2 3 9 3" xfId="11212" xr:uid="{033E2862-5CB0-4A37-8BA5-57C673A52700}"/>
    <cellStyle name="Comma 4 2 2 4" xfId="134" xr:uid="{00000000-0005-0000-0000-00002A080000}"/>
    <cellStyle name="Comma 4 2 2 4 10" xfId="8831" xr:uid="{DADC72F0-3636-4B2B-B82B-4F07CC98F352}"/>
    <cellStyle name="Comma 4 2 2 4 2" xfId="672" xr:uid="{00000000-0005-0000-0000-00002B080000}"/>
    <cellStyle name="Comma 4 2 2 4 2 2" xfId="2943" xr:uid="{00000000-0005-0000-0000-00002C080000}"/>
    <cellStyle name="Comma 4 2 2 4 2 2 2" xfId="7166" xr:uid="{00000000-0005-0000-0000-00002D080000}"/>
    <cellStyle name="Comma 4 2 2 4 2 2 2 2" xfId="15608" xr:uid="{7C08980E-B873-41AE-83D1-061D19827D35}"/>
    <cellStyle name="Comma 4 2 2 4 2 2 3" xfId="11390" xr:uid="{E8978BB5-8BB3-4BFB-A16D-620622DF7E28}"/>
    <cellStyle name="Comma 4 2 2 4 2 3" xfId="5021" xr:uid="{00000000-0005-0000-0000-00002E080000}"/>
    <cellStyle name="Comma 4 2 2 4 2 3 2" xfId="13463" xr:uid="{35B3FF61-BCA4-41D7-87B9-1FF4A23D63B7}"/>
    <cellStyle name="Comma 4 2 2 4 2 4" xfId="9245" xr:uid="{24C994D0-A397-48B8-AE40-982EAEA44B59}"/>
    <cellStyle name="Comma 4 2 2 4 3" xfId="1125" xr:uid="{00000000-0005-0000-0000-00002F080000}"/>
    <cellStyle name="Comma 4 2 2 4 3 2" xfId="3356" xr:uid="{00000000-0005-0000-0000-000030080000}"/>
    <cellStyle name="Comma 4 2 2 4 3 2 2" xfId="7579" xr:uid="{00000000-0005-0000-0000-000031080000}"/>
    <cellStyle name="Comma 4 2 2 4 3 2 2 2" xfId="16021" xr:uid="{1336916B-75FB-447C-8EF5-2F56506115CB}"/>
    <cellStyle name="Comma 4 2 2 4 3 2 3" xfId="11803" xr:uid="{2A839281-02E6-4618-ACD9-C0B443D72A75}"/>
    <cellStyle name="Comma 4 2 2 4 3 3" xfId="5434" xr:uid="{00000000-0005-0000-0000-000032080000}"/>
    <cellStyle name="Comma 4 2 2 4 3 3 2" xfId="13876" xr:uid="{D27AD217-EA32-41D5-987F-F602AF5C4C58}"/>
    <cellStyle name="Comma 4 2 2 4 3 4" xfId="9658" xr:uid="{38658E93-7741-422F-A45E-83EE049CACC0}"/>
    <cellStyle name="Comma 4 2 2 4 4" xfId="1539" xr:uid="{00000000-0005-0000-0000-000033080000}"/>
    <cellStyle name="Comma 4 2 2 4 4 2" xfId="3769" xr:uid="{00000000-0005-0000-0000-000034080000}"/>
    <cellStyle name="Comma 4 2 2 4 4 2 2" xfId="7992" xr:uid="{00000000-0005-0000-0000-000035080000}"/>
    <cellStyle name="Comma 4 2 2 4 4 2 2 2" xfId="16434" xr:uid="{E1392017-4ABE-4859-95F7-D5C91957C37E}"/>
    <cellStyle name="Comma 4 2 2 4 4 2 3" xfId="12216" xr:uid="{AA545F97-E80A-4176-9D36-0D54ABD7DB34}"/>
    <cellStyle name="Comma 4 2 2 4 4 3" xfId="5847" xr:uid="{00000000-0005-0000-0000-000036080000}"/>
    <cellStyle name="Comma 4 2 2 4 4 3 2" xfId="14289" xr:uid="{6EA21161-59DE-4A61-AEDA-50477B584752}"/>
    <cellStyle name="Comma 4 2 2 4 4 4" xfId="10071" xr:uid="{4EE07C98-DCD7-41EA-BD65-62BBC90FDBB7}"/>
    <cellStyle name="Comma 4 2 2 4 5" xfId="1953" xr:uid="{00000000-0005-0000-0000-000037080000}"/>
    <cellStyle name="Comma 4 2 2 4 5 2" xfId="4182" xr:uid="{00000000-0005-0000-0000-000038080000}"/>
    <cellStyle name="Comma 4 2 2 4 5 2 2" xfId="8405" xr:uid="{00000000-0005-0000-0000-000039080000}"/>
    <cellStyle name="Comma 4 2 2 4 5 2 2 2" xfId="16847" xr:uid="{F0A6A252-F3F8-4CBF-8046-BC02F5F3F29A}"/>
    <cellStyle name="Comma 4 2 2 4 5 2 3" xfId="12629" xr:uid="{59856BFC-7C59-465E-86FF-AEC855BA0B2D}"/>
    <cellStyle name="Comma 4 2 2 4 5 3" xfId="6260" xr:uid="{00000000-0005-0000-0000-00003A080000}"/>
    <cellStyle name="Comma 4 2 2 4 5 3 2" xfId="14702" xr:uid="{6A46521A-62B3-44C8-A8B3-917F66AB8A13}"/>
    <cellStyle name="Comma 4 2 2 4 5 4" xfId="10484" xr:uid="{90321B19-E982-4B43-BC51-CEC7010F9AF0}"/>
    <cellStyle name="Comma 4 2 2 4 6" xfId="2388" xr:uid="{00000000-0005-0000-0000-00003B080000}"/>
    <cellStyle name="Comma 4 2 2 4 6 2" xfId="6673" xr:uid="{00000000-0005-0000-0000-00003C080000}"/>
    <cellStyle name="Comma 4 2 2 4 6 2 2" xfId="15115" xr:uid="{358A6BEF-85DD-42A8-A86C-58E33CFD77EF}"/>
    <cellStyle name="Comma 4 2 2 4 6 3" xfId="10897" xr:uid="{CEF5EFD7-5331-4313-BE7E-2A95B33EF625}"/>
    <cellStyle name="Comma 4 2 2 4 7" xfId="2375" xr:uid="{00000000-0005-0000-0000-00003D080000}"/>
    <cellStyle name="Comma 4 2 2 4 8" xfId="2766" xr:uid="{00000000-0005-0000-0000-00003E080000}"/>
    <cellStyle name="Comma 4 2 2 4 8 2" xfId="6990" xr:uid="{00000000-0005-0000-0000-00003F080000}"/>
    <cellStyle name="Comma 4 2 2 4 8 2 2" xfId="15432" xr:uid="{99F6457F-1BBE-4831-8480-58E284D8C454}"/>
    <cellStyle name="Comma 4 2 2 4 8 3" xfId="11214" xr:uid="{DF17B5D1-7666-4D44-AFDB-1DE43632A7D6}"/>
    <cellStyle name="Comma 4 2 2 4 9" xfId="4607" xr:uid="{00000000-0005-0000-0000-000040080000}"/>
    <cellStyle name="Comma 4 2 2 4 9 2" xfId="13049" xr:uid="{C7742734-CE4B-4611-BDB8-37CA10754E47}"/>
    <cellStyle name="Comma 4 2 2 5" xfId="135" xr:uid="{00000000-0005-0000-0000-000041080000}"/>
    <cellStyle name="Comma 4 2 2 5 10" xfId="8832" xr:uid="{1D65B64F-6CE7-486E-A31F-326A3786921A}"/>
    <cellStyle name="Comma 4 2 2 5 2" xfId="673" xr:uid="{00000000-0005-0000-0000-000042080000}"/>
    <cellStyle name="Comma 4 2 2 5 2 2" xfId="2944" xr:uid="{00000000-0005-0000-0000-000043080000}"/>
    <cellStyle name="Comma 4 2 2 5 2 2 2" xfId="7167" xr:uid="{00000000-0005-0000-0000-000044080000}"/>
    <cellStyle name="Comma 4 2 2 5 2 2 2 2" xfId="15609" xr:uid="{9A954FDE-DE4A-4B2D-898A-A79263B3930B}"/>
    <cellStyle name="Comma 4 2 2 5 2 2 3" xfId="11391" xr:uid="{D8029E31-261E-4BE7-AB28-CD7093B3DC21}"/>
    <cellStyle name="Comma 4 2 2 5 2 3" xfId="5022" xr:uid="{00000000-0005-0000-0000-000045080000}"/>
    <cellStyle name="Comma 4 2 2 5 2 3 2" xfId="13464" xr:uid="{D114DBB8-DCF3-4119-9083-B0A31D723061}"/>
    <cellStyle name="Comma 4 2 2 5 2 4" xfId="9246" xr:uid="{B8854007-D46E-46C0-8B5E-65F9CEA6427B}"/>
    <cellStyle name="Comma 4 2 2 5 3" xfId="1126" xr:uid="{00000000-0005-0000-0000-000046080000}"/>
    <cellStyle name="Comma 4 2 2 5 3 2" xfId="3357" xr:uid="{00000000-0005-0000-0000-000047080000}"/>
    <cellStyle name="Comma 4 2 2 5 3 2 2" xfId="7580" xr:uid="{00000000-0005-0000-0000-000048080000}"/>
    <cellStyle name="Comma 4 2 2 5 3 2 2 2" xfId="16022" xr:uid="{3FDEE616-B58F-4240-98DD-274F70399046}"/>
    <cellStyle name="Comma 4 2 2 5 3 2 3" xfId="11804" xr:uid="{09F5F74B-4C9B-4C3B-97C4-65880FC7C757}"/>
    <cellStyle name="Comma 4 2 2 5 3 3" xfId="5435" xr:uid="{00000000-0005-0000-0000-000049080000}"/>
    <cellStyle name="Comma 4 2 2 5 3 3 2" xfId="13877" xr:uid="{989E0686-3F0C-4D4B-BDE6-36BC28EF6764}"/>
    <cellStyle name="Comma 4 2 2 5 3 4" xfId="9659" xr:uid="{A58A9463-A483-4CFD-A9E5-C5A93169E294}"/>
    <cellStyle name="Comma 4 2 2 5 4" xfId="1540" xr:uid="{00000000-0005-0000-0000-00004A080000}"/>
    <cellStyle name="Comma 4 2 2 5 4 2" xfId="3770" xr:uid="{00000000-0005-0000-0000-00004B080000}"/>
    <cellStyle name="Comma 4 2 2 5 4 2 2" xfId="7993" xr:uid="{00000000-0005-0000-0000-00004C080000}"/>
    <cellStyle name="Comma 4 2 2 5 4 2 2 2" xfId="16435" xr:uid="{098DBB8E-98CE-4CA9-BD13-74E516F17CA7}"/>
    <cellStyle name="Comma 4 2 2 5 4 2 3" xfId="12217" xr:uid="{544C36C2-A9F7-4DCB-88D8-50AA94C3B15F}"/>
    <cellStyle name="Comma 4 2 2 5 4 3" xfId="5848" xr:uid="{00000000-0005-0000-0000-00004D080000}"/>
    <cellStyle name="Comma 4 2 2 5 4 3 2" xfId="14290" xr:uid="{C3E8F7B2-B8F3-4B46-95C4-D28891E6D4FF}"/>
    <cellStyle name="Comma 4 2 2 5 4 4" xfId="10072" xr:uid="{CC626804-B866-4480-8768-BF5FAB522736}"/>
    <cellStyle name="Comma 4 2 2 5 5" xfId="1954" xr:uid="{00000000-0005-0000-0000-00004E080000}"/>
    <cellStyle name="Comma 4 2 2 5 5 2" xfId="4183" xr:uid="{00000000-0005-0000-0000-00004F080000}"/>
    <cellStyle name="Comma 4 2 2 5 5 2 2" xfId="8406" xr:uid="{00000000-0005-0000-0000-000050080000}"/>
    <cellStyle name="Comma 4 2 2 5 5 2 2 2" xfId="16848" xr:uid="{3B62D8B9-86CA-4309-B911-C94F1D6280DE}"/>
    <cellStyle name="Comma 4 2 2 5 5 2 3" xfId="12630" xr:uid="{203AAF5E-E2AE-46B0-BACA-D46BBABF0CCC}"/>
    <cellStyle name="Comma 4 2 2 5 5 3" xfId="6261" xr:uid="{00000000-0005-0000-0000-000051080000}"/>
    <cellStyle name="Comma 4 2 2 5 5 3 2" xfId="14703" xr:uid="{E9F0BB11-9D4E-4A9A-9367-CE6E00C3C2C5}"/>
    <cellStyle name="Comma 4 2 2 5 5 4" xfId="10485" xr:uid="{C3425EF5-AB9E-4686-85FF-443F99EEE97E}"/>
    <cellStyle name="Comma 4 2 2 5 6" xfId="2389" xr:uid="{00000000-0005-0000-0000-000052080000}"/>
    <cellStyle name="Comma 4 2 2 5 6 2" xfId="6674" xr:uid="{00000000-0005-0000-0000-000053080000}"/>
    <cellStyle name="Comma 4 2 2 5 6 2 2" xfId="15116" xr:uid="{A75D8E45-A230-4B0A-8ECD-B32FD6BE0185}"/>
    <cellStyle name="Comma 4 2 2 5 6 3" xfId="10898" xr:uid="{1490F2C3-CDC7-4721-948D-ED1D94C233AD}"/>
    <cellStyle name="Comma 4 2 2 5 7" xfId="2374" xr:uid="{00000000-0005-0000-0000-000054080000}"/>
    <cellStyle name="Comma 4 2 2 5 8" xfId="2767" xr:uid="{00000000-0005-0000-0000-000055080000}"/>
    <cellStyle name="Comma 4 2 2 5 8 2" xfId="6991" xr:uid="{00000000-0005-0000-0000-000056080000}"/>
    <cellStyle name="Comma 4 2 2 5 8 2 2" xfId="15433" xr:uid="{D94CA149-464B-4754-AF9F-80728AA48A4E}"/>
    <cellStyle name="Comma 4 2 2 5 8 3" xfId="11215" xr:uid="{37BB4012-275A-403E-A9D5-8B1E2867CDD7}"/>
    <cellStyle name="Comma 4 2 2 5 9" xfId="4608" xr:uid="{00000000-0005-0000-0000-000057080000}"/>
    <cellStyle name="Comma 4 2 2 5 9 2" xfId="13050" xr:uid="{4DDC78DB-A2DA-46F9-8AC5-47A67FEA93FF}"/>
    <cellStyle name="Comma 4 2 3" xfId="136" xr:uid="{00000000-0005-0000-0000-000058080000}"/>
    <cellStyle name="Comma 4 2 3 10" xfId="2768" xr:uid="{00000000-0005-0000-0000-000059080000}"/>
    <cellStyle name="Comma 4 2 3 10 2" xfId="6992" xr:uid="{00000000-0005-0000-0000-00005A080000}"/>
    <cellStyle name="Comma 4 2 3 10 2 2" xfId="15434" xr:uid="{48D729BF-241B-4E47-8214-B441956D33C7}"/>
    <cellStyle name="Comma 4 2 3 10 3" xfId="11216" xr:uid="{CB9965FB-7FDA-436D-A6E3-462B750ACA8A}"/>
    <cellStyle name="Comma 4 2 3 11" xfId="4609" xr:uid="{00000000-0005-0000-0000-00005B080000}"/>
    <cellStyle name="Comma 4 2 3 11 2" xfId="13051" xr:uid="{0F9649F0-7FA7-4C38-B69B-08CB01489313}"/>
    <cellStyle name="Comma 4 2 3 12" xfId="8833" xr:uid="{3B24A134-8068-4DC9-96F0-18014B20185D}"/>
    <cellStyle name="Comma 4 2 3 2" xfId="137" xr:uid="{00000000-0005-0000-0000-00005C080000}"/>
    <cellStyle name="Comma 4 2 3 2 10" xfId="4610" xr:uid="{00000000-0005-0000-0000-00005D080000}"/>
    <cellStyle name="Comma 4 2 3 2 10 2" xfId="13052" xr:uid="{57932242-4FD7-440A-B062-B6605143E912}"/>
    <cellStyle name="Comma 4 2 3 2 11" xfId="8834" xr:uid="{1E95BE19-EF5B-41A0-BE29-AA1D8A0D4552}"/>
    <cellStyle name="Comma 4 2 3 2 2" xfId="138" xr:uid="{00000000-0005-0000-0000-00005E080000}"/>
    <cellStyle name="Comma 4 2 3 2 2 10" xfId="8835" xr:uid="{9D754FA8-5607-4A1D-907C-5C5F19153CE8}"/>
    <cellStyle name="Comma 4 2 3 2 2 2" xfId="676" xr:uid="{00000000-0005-0000-0000-00005F080000}"/>
    <cellStyle name="Comma 4 2 3 2 2 2 2" xfId="2947" xr:uid="{00000000-0005-0000-0000-000060080000}"/>
    <cellStyle name="Comma 4 2 3 2 2 2 2 2" xfId="7170" xr:uid="{00000000-0005-0000-0000-000061080000}"/>
    <cellStyle name="Comma 4 2 3 2 2 2 2 2 2" xfId="15612" xr:uid="{FDF40C46-617C-4C60-A3AB-AD53F8193E2C}"/>
    <cellStyle name="Comma 4 2 3 2 2 2 2 3" xfId="11394" xr:uid="{513A2669-C9E0-40F6-8086-D1058ADF1CC1}"/>
    <cellStyle name="Comma 4 2 3 2 2 2 3" xfId="5025" xr:uid="{00000000-0005-0000-0000-000062080000}"/>
    <cellStyle name="Comma 4 2 3 2 2 2 3 2" xfId="13467" xr:uid="{99E89C18-01FC-483D-A45B-537EF90C2774}"/>
    <cellStyle name="Comma 4 2 3 2 2 2 4" xfId="9249" xr:uid="{B809893E-E2F0-4B52-A499-F5E98CA36DB1}"/>
    <cellStyle name="Comma 4 2 3 2 2 3" xfId="1129" xr:uid="{00000000-0005-0000-0000-000063080000}"/>
    <cellStyle name="Comma 4 2 3 2 2 3 2" xfId="3360" xr:uid="{00000000-0005-0000-0000-000064080000}"/>
    <cellStyle name="Comma 4 2 3 2 2 3 2 2" xfId="7583" xr:uid="{00000000-0005-0000-0000-000065080000}"/>
    <cellStyle name="Comma 4 2 3 2 2 3 2 2 2" xfId="16025" xr:uid="{1B3BD64E-89DC-499E-B83D-F79604C4CCF2}"/>
    <cellStyle name="Comma 4 2 3 2 2 3 2 3" xfId="11807" xr:uid="{A6FFF5BE-BA13-4AFC-A88D-4924F2CA350C}"/>
    <cellStyle name="Comma 4 2 3 2 2 3 3" xfId="5438" xr:uid="{00000000-0005-0000-0000-000066080000}"/>
    <cellStyle name="Comma 4 2 3 2 2 3 3 2" xfId="13880" xr:uid="{E1A3B2E3-680B-4F2E-AE2C-26369A228F07}"/>
    <cellStyle name="Comma 4 2 3 2 2 3 4" xfId="9662" xr:uid="{A2B32C9D-56A0-4768-9E93-391AE125B3B2}"/>
    <cellStyle name="Comma 4 2 3 2 2 4" xfId="1543" xr:uid="{00000000-0005-0000-0000-000067080000}"/>
    <cellStyle name="Comma 4 2 3 2 2 4 2" xfId="3773" xr:uid="{00000000-0005-0000-0000-000068080000}"/>
    <cellStyle name="Comma 4 2 3 2 2 4 2 2" xfId="7996" xr:uid="{00000000-0005-0000-0000-000069080000}"/>
    <cellStyle name="Comma 4 2 3 2 2 4 2 2 2" xfId="16438" xr:uid="{7599D992-00E3-4BB9-ABC5-75230358B181}"/>
    <cellStyle name="Comma 4 2 3 2 2 4 2 3" xfId="12220" xr:uid="{0C37620F-A317-4E85-816F-8E6344DF9B22}"/>
    <cellStyle name="Comma 4 2 3 2 2 4 3" xfId="5851" xr:uid="{00000000-0005-0000-0000-00006A080000}"/>
    <cellStyle name="Comma 4 2 3 2 2 4 3 2" xfId="14293" xr:uid="{FFCA3818-EF01-4EEE-811C-E81E86C58805}"/>
    <cellStyle name="Comma 4 2 3 2 2 4 4" xfId="10075" xr:uid="{200328DF-B981-4FC2-9F11-D27257A2F49A}"/>
    <cellStyle name="Comma 4 2 3 2 2 5" xfId="1957" xr:uid="{00000000-0005-0000-0000-00006B080000}"/>
    <cellStyle name="Comma 4 2 3 2 2 5 2" xfId="4186" xr:uid="{00000000-0005-0000-0000-00006C080000}"/>
    <cellStyle name="Comma 4 2 3 2 2 5 2 2" xfId="8409" xr:uid="{00000000-0005-0000-0000-00006D080000}"/>
    <cellStyle name="Comma 4 2 3 2 2 5 2 2 2" xfId="16851" xr:uid="{941143D6-B9CB-4BFA-9455-5599B437C676}"/>
    <cellStyle name="Comma 4 2 3 2 2 5 2 3" xfId="12633" xr:uid="{236ECBFC-B79D-4AF0-8B16-EB654BCD7AFC}"/>
    <cellStyle name="Comma 4 2 3 2 2 5 3" xfId="6264" xr:uid="{00000000-0005-0000-0000-00006E080000}"/>
    <cellStyle name="Comma 4 2 3 2 2 5 3 2" xfId="14706" xr:uid="{83ACB2D2-088F-4CF2-BD07-369EC5858278}"/>
    <cellStyle name="Comma 4 2 3 2 2 5 4" xfId="10488" xr:uid="{92BDED08-3CEF-4255-9137-F8B5FB2E9953}"/>
    <cellStyle name="Comma 4 2 3 2 2 6" xfId="2392" xr:uid="{00000000-0005-0000-0000-00006F080000}"/>
    <cellStyle name="Comma 4 2 3 2 2 6 2" xfId="6677" xr:uid="{00000000-0005-0000-0000-000070080000}"/>
    <cellStyle name="Comma 4 2 3 2 2 6 2 2" xfId="15119" xr:uid="{3F125967-8F1D-4393-8DC5-C6AD98023B11}"/>
    <cellStyle name="Comma 4 2 3 2 2 6 3" xfId="10901" xr:uid="{8A32C616-F7AB-4A4D-B013-A4002478E05E}"/>
    <cellStyle name="Comma 4 2 3 2 2 7" xfId="2371" xr:uid="{00000000-0005-0000-0000-000071080000}"/>
    <cellStyle name="Comma 4 2 3 2 2 8" xfId="2770" xr:uid="{00000000-0005-0000-0000-000072080000}"/>
    <cellStyle name="Comma 4 2 3 2 2 8 2" xfId="6994" xr:uid="{00000000-0005-0000-0000-000073080000}"/>
    <cellStyle name="Comma 4 2 3 2 2 8 2 2" xfId="15436" xr:uid="{E5A3A9F4-AAFC-4B8B-9B74-E0326F275BC5}"/>
    <cellStyle name="Comma 4 2 3 2 2 8 3" xfId="11218" xr:uid="{CE663422-8BF5-41B9-B2E5-1A4A2DC6E375}"/>
    <cellStyle name="Comma 4 2 3 2 2 9" xfId="4611" xr:uid="{00000000-0005-0000-0000-000074080000}"/>
    <cellStyle name="Comma 4 2 3 2 2 9 2" xfId="13053" xr:uid="{A011D076-5409-48FC-8B16-A77A478B7F41}"/>
    <cellStyle name="Comma 4 2 3 2 3" xfId="675" xr:uid="{00000000-0005-0000-0000-000075080000}"/>
    <cellStyle name="Comma 4 2 3 2 3 2" xfId="2946" xr:uid="{00000000-0005-0000-0000-000076080000}"/>
    <cellStyle name="Comma 4 2 3 2 3 2 2" xfId="7169" xr:uid="{00000000-0005-0000-0000-000077080000}"/>
    <cellStyle name="Comma 4 2 3 2 3 2 2 2" xfId="15611" xr:uid="{4572CCA0-F23C-437F-AFE0-0871CF7E3951}"/>
    <cellStyle name="Comma 4 2 3 2 3 2 3" xfId="11393" xr:uid="{F335F94A-2102-40C7-979A-ECCBFBCF9D84}"/>
    <cellStyle name="Comma 4 2 3 2 3 3" xfId="5024" xr:uid="{00000000-0005-0000-0000-000078080000}"/>
    <cellStyle name="Comma 4 2 3 2 3 3 2" xfId="13466" xr:uid="{0365BD9D-E50F-44A8-8D7F-8D1913928F8A}"/>
    <cellStyle name="Comma 4 2 3 2 3 4" xfId="9248" xr:uid="{EB993998-A8D5-4721-8117-8A483960B63D}"/>
    <cellStyle name="Comma 4 2 3 2 4" xfId="1128" xr:uid="{00000000-0005-0000-0000-000079080000}"/>
    <cellStyle name="Comma 4 2 3 2 4 2" xfId="3359" xr:uid="{00000000-0005-0000-0000-00007A080000}"/>
    <cellStyle name="Comma 4 2 3 2 4 2 2" xfId="7582" xr:uid="{00000000-0005-0000-0000-00007B080000}"/>
    <cellStyle name="Comma 4 2 3 2 4 2 2 2" xfId="16024" xr:uid="{E26FCA55-726F-4391-B182-021E6F5BC8B0}"/>
    <cellStyle name="Comma 4 2 3 2 4 2 3" xfId="11806" xr:uid="{251151A4-AD7C-4019-93A9-B8EE2B3B4FA3}"/>
    <cellStyle name="Comma 4 2 3 2 4 3" xfId="5437" xr:uid="{00000000-0005-0000-0000-00007C080000}"/>
    <cellStyle name="Comma 4 2 3 2 4 3 2" xfId="13879" xr:uid="{5876EF0E-0B22-4155-88B8-E30EC4AFE87C}"/>
    <cellStyle name="Comma 4 2 3 2 4 4" xfId="9661" xr:uid="{A0F0552C-F299-4EF5-9169-36425111B988}"/>
    <cellStyle name="Comma 4 2 3 2 5" xfId="1542" xr:uid="{00000000-0005-0000-0000-00007D080000}"/>
    <cellStyle name="Comma 4 2 3 2 5 2" xfId="3772" xr:uid="{00000000-0005-0000-0000-00007E080000}"/>
    <cellStyle name="Comma 4 2 3 2 5 2 2" xfId="7995" xr:uid="{00000000-0005-0000-0000-00007F080000}"/>
    <cellStyle name="Comma 4 2 3 2 5 2 2 2" xfId="16437" xr:uid="{92999A02-7E80-4AE7-BFB2-B690F9748C93}"/>
    <cellStyle name="Comma 4 2 3 2 5 2 3" xfId="12219" xr:uid="{1C36457F-659E-4FE4-B52F-0591928907BA}"/>
    <cellStyle name="Comma 4 2 3 2 5 3" xfId="5850" xr:uid="{00000000-0005-0000-0000-000080080000}"/>
    <cellStyle name="Comma 4 2 3 2 5 3 2" xfId="14292" xr:uid="{0062A5C1-757F-428A-8F5F-300DA2A185EC}"/>
    <cellStyle name="Comma 4 2 3 2 5 4" xfId="10074" xr:uid="{4AB02C32-5E1B-4995-A1A7-9722BACA0471}"/>
    <cellStyle name="Comma 4 2 3 2 6" xfId="1956" xr:uid="{00000000-0005-0000-0000-000081080000}"/>
    <cellStyle name="Comma 4 2 3 2 6 2" xfId="4185" xr:uid="{00000000-0005-0000-0000-000082080000}"/>
    <cellStyle name="Comma 4 2 3 2 6 2 2" xfId="8408" xr:uid="{00000000-0005-0000-0000-000083080000}"/>
    <cellStyle name="Comma 4 2 3 2 6 2 2 2" xfId="16850" xr:uid="{576AF424-F3E9-4652-9AE1-BF4D5D56FCF7}"/>
    <cellStyle name="Comma 4 2 3 2 6 2 3" xfId="12632" xr:uid="{E5E95C5A-634A-4EF4-82B7-36DD591FA5F6}"/>
    <cellStyle name="Comma 4 2 3 2 6 3" xfId="6263" xr:uid="{00000000-0005-0000-0000-000084080000}"/>
    <cellStyle name="Comma 4 2 3 2 6 3 2" xfId="14705" xr:uid="{2125C2A4-A8F5-475C-A4FA-5B7EE265FBE3}"/>
    <cellStyle name="Comma 4 2 3 2 6 4" xfId="10487" xr:uid="{920F0393-2735-488B-9707-7E11C9EC2C2F}"/>
    <cellStyle name="Comma 4 2 3 2 7" xfId="2391" xr:uid="{00000000-0005-0000-0000-000085080000}"/>
    <cellStyle name="Comma 4 2 3 2 7 2" xfId="6676" xr:uid="{00000000-0005-0000-0000-000086080000}"/>
    <cellStyle name="Comma 4 2 3 2 7 2 2" xfId="15118" xr:uid="{5157D8BA-7060-42B0-B942-74FD488AAEA6}"/>
    <cellStyle name="Comma 4 2 3 2 7 3" xfId="10900" xr:uid="{3F9D011D-CEDF-482D-808E-6CDDC0488CA5}"/>
    <cellStyle name="Comma 4 2 3 2 8" xfId="2372" xr:uid="{00000000-0005-0000-0000-000087080000}"/>
    <cellStyle name="Comma 4 2 3 2 9" xfId="2769" xr:uid="{00000000-0005-0000-0000-000088080000}"/>
    <cellStyle name="Comma 4 2 3 2 9 2" xfId="6993" xr:uid="{00000000-0005-0000-0000-000089080000}"/>
    <cellStyle name="Comma 4 2 3 2 9 2 2" xfId="15435" xr:uid="{443DEF7D-C334-4FC6-9803-17666CBBB2DB}"/>
    <cellStyle name="Comma 4 2 3 2 9 3" xfId="11217" xr:uid="{4DCBEB7F-CF0A-4D8E-9E67-35F43B2096E4}"/>
    <cellStyle name="Comma 4 2 3 3" xfId="139" xr:uid="{00000000-0005-0000-0000-00008A080000}"/>
    <cellStyle name="Comma 4 2 3 3 10" xfId="8836" xr:uid="{BA3CC9FE-97C6-46C5-BBB7-8957EC9ADEC0}"/>
    <cellStyle name="Comma 4 2 3 3 2" xfId="677" xr:uid="{00000000-0005-0000-0000-00008B080000}"/>
    <cellStyle name="Comma 4 2 3 3 2 2" xfId="2948" xr:uid="{00000000-0005-0000-0000-00008C080000}"/>
    <cellStyle name="Comma 4 2 3 3 2 2 2" xfId="7171" xr:uid="{00000000-0005-0000-0000-00008D080000}"/>
    <cellStyle name="Comma 4 2 3 3 2 2 2 2" xfId="15613" xr:uid="{1FF7F171-6475-482D-B4CB-62908F9DAEAA}"/>
    <cellStyle name="Comma 4 2 3 3 2 2 3" xfId="11395" xr:uid="{015F234D-2C49-4041-9389-92B1472703DF}"/>
    <cellStyle name="Comma 4 2 3 3 2 3" xfId="5026" xr:uid="{00000000-0005-0000-0000-00008E080000}"/>
    <cellStyle name="Comma 4 2 3 3 2 3 2" xfId="13468" xr:uid="{EF7EDC36-7377-4496-927E-36C5A54E585D}"/>
    <cellStyle name="Comma 4 2 3 3 2 4" xfId="9250" xr:uid="{A76BD237-CFA8-4D6A-AD4B-124238DC54CF}"/>
    <cellStyle name="Comma 4 2 3 3 3" xfId="1130" xr:uid="{00000000-0005-0000-0000-00008F080000}"/>
    <cellStyle name="Comma 4 2 3 3 3 2" xfId="3361" xr:uid="{00000000-0005-0000-0000-000090080000}"/>
    <cellStyle name="Comma 4 2 3 3 3 2 2" xfId="7584" xr:uid="{00000000-0005-0000-0000-000091080000}"/>
    <cellStyle name="Comma 4 2 3 3 3 2 2 2" xfId="16026" xr:uid="{9722D524-4885-4932-B4C6-508085FBDA45}"/>
    <cellStyle name="Comma 4 2 3 3 3 2 3" xfId="11808" xr:uid="{6587EE4A-4EAE-4B6E-9EE8-EAE214BBDC9D}"/>
    <cellStyle name="Comma 4 2 3 3 3 3" xfId="5439" xr:uid="{00000000-0005-0000-0000-000092080000}"/>
    <cellStyle name="Comma 4 2 3 3 3 3 2" xfId="13881" xr:uid="{9E40B610-362F-49D5-A1B4-56D70DD4C182}"/>
    <cellStyle name="Comma 4 2 3 3 3 4" xfId="9663" xr:uid="{059A59D3-939F-432A-BCBA-572367C314BA}"/>
    <cellStyle name="Comma 4 2 3 3 4" xfId="1544" xr:uid="{00000000-0005-0000-0000-000093080000}"/>
    <cellStyle name="Comma 4 2 3 3 4 2" xfId="3774" xr:uid="{00000000-0005-0000-0000-000094080000}"/>
    <cellStyle name="Comma 4 2 3 3 4 2 2" xfId="7997" xr:uid="{00000000-0005-0000-0000-000095080000}"/>
    <cellStyle name="Comma 4 2 3 3 4 2 2 2" xfId="16439" xr:uid="{AA7533AE-6C01-4A70-8D52-DAA8F0B8BABE}"/>
    <cellStyle name="Comma 4 2 3 3 4 2 3" xfId="12221" xr:uid="{5B9B37C6-2F2B-447E-85D4-354E206F4E08}"/>
    <cellStyle name="Comma 4 2 3 3 4 3" xfId="5852" xr:uid="{00000000-0005-0000-0000-000096080000}"/>
    <cellStyle name="Comma 4 2 3 3 4 3 2" xfId="14294" xr:uid="{5DC639C7-7A6E-424B-9D1B-8D84094A39B5}"/>
    <cellStyle name="Comma 4 2 3 3 4 4" xfId="10076" xr:uid="{0A107261-593A-4E93-A566-B3306C807F16}"/>
    <cellStyle name="Comma 4 2 3 3 5" xfId="1958" xr:uid="{00000000-0005-0000-0000-000097080000}"/>
    <cellStyle name="Comma 4 2 3 3 5 2" xfId="4187" xr:uid="{00000000-0005-0000-0000-000098080000}"/>
    <cellStyle name="Comma 4 2 3 3 5 2 2" xfId="8410" xr:uid="{00000000-0005-0000-0000-000099080000}"/>
    <cellStyle name="Comma 4 2 3 3 5 2 2 2" xfId="16852" xr:uid="{65D2E132-E912-4294-A2DC-F2D31DB1B189}"/>
    <cellStyle name="Comma 4 2 3 3 5 2 3" xfId="12634" xr:uid="{453A4D59-86F5-4B16-AA6C-5BA60FDA50C0}"/>
    <cellStyle name="Comma 4 2 3 3 5 3" xfId="6265" xr:uid="{00000000-0005-0000-0000-00009A080000}"/>
    <cellStyle name="Comma 4 2 3 3 5 3 2" xfId="14707" xr:uid="{0D64D651-ABB1-4DB7-8E57-06660DF85D70}"/>
    <cellStyle name="Comma 4 2 3 3 5 4" xfId="10489" xr:uid="{6222300E-6B8B-4059-B3BC-5D10B300FEA0}"/>
    <cellStyle name="Comma 4 2 3 3 6" xfId="2393" xr:uid="{00000000-0005-0000-0000-00009B080000}"/>
    <cellStyle name="Comma 4 2 3 3 6 2" xfId="6678" xr:uid="{00000000-0005-0000-0000-00009C080000}"/>
    <cellStyle name="Comma 4 2 3 3 6 2 2" xfId="15120" xr:uid="{5FBA064C-6096-4D4D-BB66-D337FD2CBE5D}"/>
    <cellStyle name="Comma 4 2 3 3 6 3" xfId="10902" xr:uid="{491AB4F1-9581-4509-B669-EC419129B0AC}"/>
    <cellStyle name="Comma 4 2 3 3 7" xfId="2370" xr:uid="{00000000-0005-0000-0000-00009D080000}"/>
    <cellStyle name="Comma 4 2 3 3 8" xfId="2771" xr:uid="{00000000-0005-0000-0000-00009E080000}"/>
    <cellStyle name="Comma 4 2 3 3 8 2" xfId="6995" xr:uid="{00000000-0005-0000-0000-00009F080000}"/>
    <cellStyle name="Comma 4 2 3 3 8 2 2" xfId="15437" xr:uid="{464ADFBE-3FE5-4C53-9AAD-BFDBCAEB813F}"/>
    <cellStyle name="Comma 4 2 3 3 8 3" xfId="11219" xr:uid="{9822D937-0C21-4AEB-B9D2-BAB1A12E817E}"/>
    <cellStyle name="Comma 4 2 3 3 9" xfId="4612" xr:uid="{00000000-0005-0000-0000-0000A0080000}"/>
    <cellStyle name="Comma 4 2 3 3 9 2" xfId="13054" xr:uid="{8C9130C7-4A8D-4214-89CC-89B8B0D92719}"/>
    <cellStyle name="Comma 4 2 3 4" xfId="674" xr:uid="{00000000-0005-0000-0000-0000A1080000}"/>
    <cellStyle name="Comma 4 2 3 4 2" xfId="2945" xr:uid="{00000000-0005-0000-0000-0000A2080000}"/>
    <cellStyle name="Comma 4 2 3 4 2 2" xfId="7168" xr:uid="{00000000-0005-0000-0000-0000A3080000}"/>
    <cellStyle name="Comma 4 2 3 4 2 2 2" xfId="15610" xr:uid="{13CBDB0B-C270-4093-AAF6-A2905CC34F6B}"/>
    <cellStyle name="Comma 4 2 3 4 2 3" xfId="11392" xr:uid="{A0EB0BEE-DF67-445C-8FD4-86523432268C}"/>
    <cellStyle name="Comma 4 2 3 4 3" xfId="5023" xr:uid="{00000000-0005-0000-0000-0000A4080000}"/>
    <cellStyle name="Comma 4 2 3 4 3 2" xfId="13465" xr:uid="{733BAEF4-8C63-41A7-9BAA-1892E057E069}"/>
    <cellStyle name="Comma 4 2 3 4 4" xfId="9247" xr:uid="{E43357D4-BF2E-4B27-B870-49AF53315DC7}"/>
    <cellStyle name="Comma 4 2 3 5" xfId="1127" xr:uid="{00000000-0005-0000-0000-0000A5080000}"/>
    <cellStyle name="Comma 4 2 3 5 2" xfId="3358" xr:uid="{00000000-0005-0000-0000-0000A6080000}"/>
    <cellStyle name="Comma 4 2 3 5 2 2" xfId="7581" xr:uid="{00000000-0005-0000-0000-0000A7080000}"/>
    <cellStyle name="Comma 4 2 3 5 2 2 2" xfId="16023" xr:uid="{53855B09-0FE5-4AFA-BCA4-88A1646A115D}"/>
    <cellStyle name="Comma 4 2 3 5 2 3" xfId="11805" xr:uid="{F5D5C928-1652-4E0F-9582-6271CC3CE6B4}"/>
    <cellStyle name="Comma 4 2 3 5 3" xfId="5436" xr:uid="{00000000-0005-0000-0000-0000A8080000}"/>
    <cellStyle name="Comma 4 2 3 5 3 2" xfId="13878" xr:uid="{783DD926-73B7-4FE7-ACF1-2909C5ADFFEA}"/>
    <cellStyle name="Comma 4 2 3 5 4" xfId="9660" xr:uid="{25F5A202-7DDB-450F-96A8-28F9478022E1}"/>
    <cellStyle name="Comma 4 2 3 6" xfId="1541" xr:uid="{00000000-0005-0000-0000-0000A9080000}"/>
    <cellStyle name="Comma 4 2 3 6 2" xfId="3771" xr:uid="{00000000-0005-0000-0000-0000AA080000}"/>
    <cellStyle name="Comma 4 2 3 6 2 2" xfId="7994" xr:uid="{00000000-0005-0000-0000-0000AB080000}"/>
    <cellStyle name="Comma 4 2 3 6 2 2 2" xfId="16436" xr:uid="{F11B2D72-152A-4802-8A79-387B3A3F2D80}"/>
    <cellStyle name="Comma 4 2 3 6 2 3" xfId="12218" xr:uid="{CF204EEF-52E4-4372-A41B-47C76DF5AAF8}"/>
    <cellStyle name="Comma 4 2 3 6 3" xfId="5849" xr:uid="{00000000-0005-0000-0000-0000AC080000}"/>
    <cellStyle name="Comma 4 2 3 6 3 2" xfId="14291" xr:uid="{6014077B-7836-4773-A793-D12A3984DF2C}"/>
    <cellStyle name="Comma 4 2 3 6 4" xfId="10073" xr:uid="{36E5501B-8787-46F0-BB18-89486766772E}"/>
    <cellStyle name="Comma 4 2 3 7" xfId="1955" xr:uid="{00000000-0005-0000-0000-0000AD080000}"/>
    <cellStyle name="Comma 4 2 3 7 2" xfId="4184" xr:uid="{00000000-0005-0000-0000-0000AE080000}"/>
    <cellStyle name="Comma 4 2 3 7 2 2" xfId="8407" xr:uid="{00000000-0005-0000-0000-0000AF080000}"/>
    <cellStyle name="Comma 4 2 3 7 2 2 2" xfId="16849" xr:uid="{8BD0080A-748F-44FB-81E5-F3DF530ED97A}"/>
    <cellStyle name="Comma 4 2 3 7 2 3" xfId="12631" xr:uid="{FDAC84FE-E1AC-491F-87B1-8EF567352E16}"/>
    <cellStyle name="Comma 4 2 3 7 3" xfId="6262" xr:uid="{00000000-0005-0000-0000-0000B0080000}"/>
    <cellStyle name="Comma 4 2 3 7 3 2" xfId="14704" xr:uid="{59A8801C-A43A-436C-A238-B739705135FD}"/>
    <cellStyle name="Comma 4 2 3 7 4" xfId="10486" xr:uid="{F6F5B235-E84D-4349-8CE4-48130E9F7176}"/>
    <cellStyle name="Comma 4 2 3 8" xfId="2390" xr:uid="{00000000-0005-0000-0000-0000B1080000}"/>
    <cellStyle name="Comma 4 2 3 8 2" xfId="6675" xr:uid="{00000000-0005-0000-0000-0000B2080000}"/>
    <cellStyle name="Comma 4 2 3 8 2 2" xfId="15117" xr:uid="{DD69F793-C48A-47BC-96CD-B8AB72FDD7A2}"/>
    <cellStyle name="Comma 4 2 3 8 3" xfId="10899" xr:uid="{4B3314D4-FC53-489D-8807-C477B03C6430}"/>
    <cellStyle name="Comma 4 2 3 9" xfId="2373" xr:uid="{00000000-0005-0000-0000-0000B3080000}"/>
    <cellStyle name="Comma 4 2 4" xfId="140" xr:uid="{00000000-0005-0000-0000-0000B4080000}"/>
    <cellStyle name="Comma 4 2 4 10" xfId="4613" xr:uid="{00000000-0005-0000-0000-0000B5080000}"/>
    <cellStyle name="Comma 4 2 4 10 2" xfId="13055" xr:uid="{80900838-840E-4061-834B-135957673A65}"/>
    <cellStyle name="Comma 4 2 4 11" xfId="8837" xr:uid="{AB5DEA42-4446-4014-9B05-4D240DA1C9DB}"/>
    <cellStyle name="Comma 4 2 4 2" xfId="141" xr:uid="{00000000-0005-0000-0000-0000B6080000}"/>
    <cellStyle name="Comma 4 2 4 2 10" xfId="8838" xr:uid="{5CEFE7D2-3925-48E9-8899-AA3C30E36647}"/>
    <cellStyle name="Comma 4 2 4 2 2" xfId="679" xr:uid="{00000000-0005-0000-0000-0000B7080000}"/>
    <cellStyle name="Comma 4 2 4 2 2 2" xfId="2950" xr:uid="{00000000-0005-0000-0000-0000B8080000}"/>
    <cellStyle name="Comma 4 2 4 2 2 2 2" xfId="7173" xr:uid="{00000000-0005-0000-0000-0000B9080000}"/>
    <cellStyle name="Comma 4 2 4 2 2 2 2 2" xfId="15615" xr:uid="{DFEDC11E-FD22-4D00-BD31-9103870EA92A}"/>
    <cellStyle name="Comma 4 2 4 2 2 2 3" xfId="11397" xr:uid="{E889EF5D-E0A2-4193-82BF-F053E5903086}"/>
    <cellStyle name="Comma 4 2 4 2 2 3" xfId="5028" xr:uid="{00000000-0005-0000-0000-0000BA080000}"/>
    <cellStyle name="Comma 4 2 4 2 2 3 2" xfId="13470" xr:uid="{B3472B6E-C2A2-4468-BDAC-21C798E94F1D}"/>
    <cellStyle name="Comma 4 2 4 2 2 4" xfId="9252" xr:uid="{91280CBE-7E18-4F33-833C-94CB9E46A400}"/>
    <cellStyle name="Comma 4 2 4 2 3" xfId="1132" xr:uid="{00000000-0005-0000-0000-0000BB080000}"/>
    <cellStyle name="Comma 4 2 4 2 3 2" xfId="3363" xr:uid="{00000000-0005-0000-0000-0000BC080000}"/>
    <cellStyle name="Comma 4 2 4 2 3 2 2" xfId="7586" xr:uid="{00000000-0005-0000-0000-0000BD080000}"/>
    <cellStyle name="Comma 4 2 4 2 3 2 2 2" xfId="16028" xr:uid="{97A18524-545F-4678-8BAC-455C546EA68B}"/>
    <cellStyle name="Comma 4 2 4 2 3 2 3" xfId="11810" xr:uid="{45508E00-60F7-4C71-8379-8304E86B54E2}"/>
    <cellStyle name="Comma 4 2 4 2 3 3" xfId="5441" xr:uid="{00000000-0005-0000-0000-0000BE080000}"/>
    <cellStyle name="Comma 4 2 4 2 3 3 2" xfId="13883" xr:uid="{011C3522-15AF-4D0C-80CD-5A16C3C8BA14}"/>
    <cellStyle name="Comma 4 2 4 2 3 4" xfId="9665" xr:uid="{2DB86274-040E-4069-A4FB-453052B81F13}"/>
    <cellStyle name="Comma 4 2 4 2 4" xfId="1546" xr:uid="{00000000-0005-0000-0000-0000BF080000}"/>
    <cellStyle name="Comma 4 2 4 2 4 2" xfId="3776" xr:uid="{00000000-0005-0000-0000-0000C0080000}"/>
    <cellStyle name="Comma 4 2 4 2 4 2 2" xfId="7999" xr:uid="{00000000-0005-0000-0000-0000C1080000}"/>
    <cellStyle name="Comma 4 2 4 2 4 2 2 2" xfId="16441" xr:uid="{3E3A9AC8-DB82-4E1A-96EA-EB892FE5C08C}"/>
    <cellStyle name="Comma 4 2 4 2 4 2 3" xfId="12223" xr:uid="{E00F05C6-A5BA-4345-98CD-AAD73C9A6F60}"/>
    <cellStyle name="Comma 4 2 4 2 4 3" xfId="5854" xr:uid="{00000000-0005-0000-0000-0000C2080000}"/>
    <cellStyle name="Comma 4 2 4 2 4 3 2" xfId="14296" xr:uid="{C0306634-ABD4-44B8-A910-6C9AD2D42850}"/>
    <cellStyle name="Comma 4 2 4 2 4 4" xfId="10078" xr:uid="{65C5B84B-E80E-4737-8A1A-BC097AAEC791}"/>
    <cellStyle name="Comma 4 2 4 2 5" xfId="1960" xr:uid="{00000000-0005-0000-0000-0000C3080000}"/>
    <cellStyle name="Comma 4 2 4 2 5 2" xfId="4189" xr:uid="{00000000-0005-0000-0000-0000C4080000}"/>
    <cellStyle name="Comma 4 2 4 2 5 2 2" xfId="8412" xr:uid="{00000000-0005-0000-0000-0000C5080000}"/>
    <cellStyle name="Comma 4 2 4 2 5 2 2 2" xfId="16854" xr:uid="{EC852DA4-1F9C-444E-995B-C62FD3ECBC3D}"/>
    <cellStyle name="Comma 4 2 4 2 5 2 3" xfId="12636" xr:uid="{15161842-7407-4CFE-9B56-E954EB175F93}"/>
    <cellStyle name="Comma 4 2 4 2 5 3" xfId="6267" xr:uid="{00000000-0005-0000-0000-0000C6080000}"/>
    <cellStyle name="Comma 4 2 4 2 5 3 2" xfId="14709" xr:uid="{FFEE5B2B-B908-471D-94B6-B55E506F4A0D}"/>
    <cellStyle name="Comma 4 2 4 2 5 4" xfId="10491" xr:uid="{85731CD3-7115-4818-AE68-D09527156E5F}"/>
    <cellStyle name="Comma 4 2 4 2 6" xfId="2395" xr:uid="{00000000-0005-0000-0000-0000C7080000}"/>
    <cellStyle name="Comma 4 2 4 2 6 2" xfId="6680" xr:uid="{00000000-0005-0000-0000-0000C8080000}"/>
    <cellStyle name="Comma 4 2 4 2 6 2 2" xfId="15122" xr:uid="{2E0868CD-C325-4BE3-8D39-3FD836998CC3}"/>
    <cellStyle name="Comma 4 2 4 2 6 3" xfId="10904" xr:uid="{2173EB17-C85D-476D-B0AC-A80E28584A9D}"/>
    <cellStyle name="Comma 4 2 4 2 7" xfId="2368" xr:uid="{00000000-0005-0000-0000-0000C9080000}"/>
    <cellStyle name="Comma 4 2 4 2 8" xfId="2773" xr:uid="{00000000-0005-0000-0000-0000CA080000}"/>
    <cellStyle name="Comma 4 2 4 2 8 2" xfId="6997" xr:uid="{00000000-0005-0000-0000-0000CB080000}"/>
    <cellStyle name="Comma 4 2 4 2 8 2 2" xfId="15439" xr:uid="{64A22F3A-5AAB-497A-AB5D-B5C949EE744D}"/>
    <cellStyle name="Comma 4 2 4 2 8 3" xfId="11221" xr:uid="{69C03617-AA2F-45D6-8D42-DE38EF795B89}"/>
    <cellStyle name="Comma 4 2 4 2 9" xfId="4614" xr:uid="{00000000-0005-0000-0000-0000CC080000}"/>
    <cellStyle name="Comma 4 2 4 2 9 2" xfId="13056" xr:uid="{A900E146-20B6-4D75-BEE1-288EBE1CFE84}"/>
    <cellStyle name="Comma 4 2 4 3" xfId="678" xr:uid="{00000000-0005-0000-0000-0000CD080000}"/>
    <cellStyle name="Comma 4 2 4 3 2" xfId="2949" xr:uid="{00000000-0005-0000-0000-0000CE080000}"/>
    <cellStyle name="Comma 4 2 4 3 2 2" xfId="7172" xr:uid="{00000000-0005-0000-0000-0000CF080000}"/>
    <cellStyle name="Comma 4 2 4 3 2 2 2" xfId="15614" xr:uid="{3A16E4D4-F417-4FB6-9722-C82C80D88E50}"/>
    <cellStyle name="Comma 4 2 4 3 2 3" xfId="11396" xr:uid="{934C345C-0691-42CE-A692-3218640085C3}"/>
    <cellStyle name="Comma 4 2 4 3 3" xfId="5027" xr:uid="{00000000-0005-0000-0000-0000D0080000}"/>
    <cellStyle name="Comma 4 2 4 3 3 2" xfId="13469" xr:uid="{2A0C58D2-B0DF-45F9-921A-AE56D9D843BF}"/>
    <cellStyle name="Comma 4 2 4 3 4" xfId="9251" xr:uid="{F49B70AD-2F5D-443B-AC7E-FA50C678AE9B}"/>
    <cellStyle name="Comma 4 2 4 4" xfId="1131" xr:uid="{00000000-0005-0000-0000-0000D1080000}"/>
    <cellStyle name="Comma 4 2 4 4 2" xfId="3362" xr:uid="{00000000-0005-0000-0000-0000D2080000}"/>
    <cellStyle name="Comma 4 2 4 4 2 2" xfId="7585" xr:uid="{00000000-0005-0000-0000-0000D3080000}"/>
    <cellStyle name="Comma 4 2 4 4 2 2 2" xfId="16027" xr:uid="{AC55C44B-4C35-4246-9E41-FB4E696BDA18}"/>
    <cellStyle name="Comma 4 2 4 4 2 3" xfId="11809" xr:uid="{C74BBCC2-9A4A-4A94-B238-5235400A576A}"/>
    <cellStyle name="Comma 4 2 4 4 3" xfId="5440" xr:uid="{00000000-0005-0000-0000-0000D4080000}"/>
    <cellStyle name="Comma 4 2 4 4 3 2" xfId="13882" xr:uid="{E3363D64-28B9-4C8E-ADE0-774218CDAF0E}"/>
    <cellStyle name="Comma 4 2 4 4 4" xfId="9664" xr:uid="{1801EF3A-4BA8-4B04-B0C4-3451688BE3FA}"/>
    <cellStyle name="Comma 4 2 4 5" xfId="1545" xr:uid="{00000000-0005-0000-0000-0000D5080000}"/>
    <cellStyle name="Comma 4 2 4 5 2" xfId="3775" xr:uid="{00000000-0005-0000-0000-0000D6080000}"/>
    <cellStyle name="Comma 4 2 4 5 2 2" xfId="7998" xr:uid="{00000000-0005-0000-0000-0000D7080000}"/>
    <cellStyle name="Comma 4 2 4 5 2 2 2" xfId="16440" xr:uid="{5DF35B3A-6B2F-4FDA-8BE3-FE8015A7A50B}"/>
    <cellStyle name="Comma 4 2 4 5 2 3" xfId="12222" xr:uid="{2C48C1FB-5882-4219-980C-9DB68F24A5E4}"/>
    <cellStyle name="Comma 4 2 4 5 3" xfId="5853" xr:uid="{00000000-0005-0000-0000-0000D8080000}"/>
    <cellStyle name="Comma 4 2 4 5 3 2" xfId="14295" xr:uid="{2615EC52-E731-4E64-B36D-7415C9EFFE60}"/>
    <cellStyle name="Comma 4 2 4 5 4" xfId="10077" xr:uid="{7902D06E-7FE5-4D20-90F8-4109667965E4}"/>
    <cellStyle name="Comma 4 2 4 6" xfId="1959" xr:uid="{00000000-0005-0000-0000-0000D9080000}"/>
    <cellStyle name="Comma 4 2 4 6 2" xfId="4188" xr:uid="{00000000-0005-0000-0000-0000DA080000}"/>
    <cellStyle name="Comma 4 2 4 6 2 2" xfId="8411" xr:uid="{00000000-0005-0000-0000-0000DB080000}"/>
    <cellStyle name="Comma 4 2 4 6 2 2 2" xfId="16853" xr:uid="{092E111F-10A7-4862-B54D-7C7EABFDEBC0}"/>
    <cellStyle name="Comma 4 2 4 6 2 3" xfId="12635" xr:uid="{4D34C317-3DD9-4B88-AD2E-6F5870BC4BC8}"/>
    <cellStyle name="Comma 4 2 4 6 3" xfId="6266" xr:uid="{00000000-0005-0000-0000-0000DC080000}"/>
    <cellStyle name="Comma 4 2 4 6 3 2" xfId="14708" xr:uid="{36EC8BF8-B312-42CC-8EF4-C3BA4D55399D}"/>
    <cellStyle name="Comma 4 2 4 6 4" xfId="10490" xr:uid="{6244DA2F-32E4-427D-B184-CD27EECF28B2}"/>
    <cellStyle name="Comma 4 2 4 7" xfId="2394" xr:uid="{00000000-0005-0000-0000-0000DD080000}"/>
    <cellStyle name="Comma 4 2 4 7 2" xfId="6679" xr:uid="{00000000-0005-0000-0000-0000DE080000}"/>
    <cellStyle name="Comma 4 2 4 7 2 2" xfId="15121" xr:uid="{E87CD35E-E211-40F7-BFFB-8070916B45D7}"/>
    <cellStyle name="Comma 4 2 4 7 3" xfId="10903" xr:uid="{B327D072-5FBA-4489-9D5D-7FC70C71E307}"/>
    <cellStyle name="Comma 4 2 4 8" xfId="2369" xr:uid="{00000000-0005-0000-0000-0000DF080000}"/>
    <cellStyle name="Comma 4 2 4 9" xfId="2772" xr:uid="{00000000-0005-0000-0000-0000E0080000}"/>
    <cellStyle name="Comma 4 2 4 9 2" xfId="6996" xr:uid="{00000000-0005-0000-0000-0000E1080000}"/>
    <cellStyle name="Comma 4 2 4 9 2 2" xfId="15438" xr:uid="{264DA229-9E0D-4D7F-B186-4406946950A1}"/>
    <cellStyle name="Comma 4 2 4 9 3" xfId="11220" xr:uid="{F2F31862-B4D5-44BA-BB6D-B2E21B6C13FF}"/>
    <cellStyle name="Comma 4 2 5" xfId="142" xr:uid="{00000000-0005-0000-0000-0000E2080000}"/>
    <cellStyle name="Comma 4 2 5 10" xfId="8839" xr:uid="{C8A9AEA8-1768-4908-A56F-E08EB2F95C2D}"/>
    <cellStyle name="Comma 4 2 5 2" xfId="680" xr:uid="{00000000-0005-0000-0000-0000E3080000}"/>
    <cellStyle name="Comma 4 2 5 2 2" xfId="2951" xr:uid="{00000000-0005-0000-0000-0000E4080000}"/>
    <cellStyle name="Comma 4 2 5 2 2 2" xfId="7174" xr:uid="{00000000-0005-0000-0000-0000E5080000}"/>
    <cellStyle name="Comma 4 2 5 2 2 2 2" xfId="15616" xr:uid="{15D9E858-EA3C-48AB-A096-A303F1182D23}"/>
    <cellStyle name="Comma 4 2 5 2 2 3" xfId="11398" xr:uid="{CB5A4AE8-8BEC-4081-97F1-A142EAE19E2A}"/>
    <cellStyle name="Comma 4 2 5 2 3" xfId="5029" xr:uid="{00000000-0005-0000-0000-0000E6080000}"/>
    <cellStyle name="Comma 4 2 5 2 3 2" xfId="13471" xr:uid="{87D62B9B-0240-4E30-8618-3AB9553B130D}"/>
    <cellStyle name="Comma 4 2 5 2 4" xfId="9253" xr:uid="{D682D534-35D6-4BA0-A485-74DC43AB091E}"/>
    <cellStyle name="Comma 4 2 5 3" xfId="1133" xr:uid="{00000000-0005-0000-0000-0000E7080000}"/>
    <cellStyle name="Comma 4 2 5 3 2" xfId="3364" xr:uid="{00000000-0005-0000-0000-0000E8080000}"/>
    <cellStyle name="Comma 4 2 5 3 2 2" xfId="7587" xr:uid="{00000000-0005-0000-0000-0000E9080000}"/>
    <cellStyle name="Comma 4 2 5 3 2 2 2" xfId="16029" xr:uid="{296E6972-47AF-4BB0-A8F6-73F4DAD46659}"/>
    <cellStyle name="Comma 4 2 5 3 2 3" xfId="11811" xr:uid="{2816833B-F019-485B-92A4-60046B1A2B73}"/>
    <cellStyle name="Comma 4 2 5 3 3" xfId="5442" xr:uid="{00000000-0005-0000-0000-0000EA080000}"/>
    <cellStyle name="Comma 4 2 5 3 3 2" xfId="13884" xr:uid="{0BA24D2C-9CE4-49C5-B3D1-2B6C58EBF245}"/>
    <cellStyle name="Comma 4 2 5 3 4" xfId="9666" xr:uid="{B4F80F2A-BDE0-4A51-B599-A9F51009E979}"/>
    <cellStyle name="Comma 4 2 5 4" xfId="1547" xr:uid="{00000000-0005-0000-0000-0000EB080000}"/>
    <cellStyle name="Comma 4 2 5 4 2" xfId="3777" xr:uid="{00000000-0005-0000-0000-0000EC080000}"/>
    <cellStyle name="Comma 4 2 5 4 2 2" xfId="8000" xr:uid="{00000000-0005-0000-0000-0000ED080000}"/>
    <cellStyle name="Comma 4 2 5 4 2 2 2" xfId="16442" xr:uid="{CCEDC531-B20E-4091-8E3E-BDF64CA83B46}"/>
    <cellStyle name="Comma 4 2 5 4 2 3" xfId="12224" xr:uid="{669ABFF6-58D8-4621-9724-658AB385F6C6}"/>
    <cellStyle name="Comma 4 2 5 4 3" xfId="5855" xr:uid="{00000000-0005-0000-0000-0000EE080000}"/>
    <cellStyle name="Comma 4 2 5 4 3 2" xfId="14297" xr:uid="{6FFEB283-A09C-48C9-BC33-758288349AD8}"/>
    <cellStyle name="Comma 4 2 5 4 4" xfId="10079" xr:uid="{2C670849-4A64-4CF5-A926-3750EFD3B051}"/>
    <cellStyle name="Comma 4 2 5 5" xfId="1961" xr:uid="{00000000-0005-0000-0000-0000EF080000}"/>
    <cellStyle name="Comma 4 2 5 5 2" xfId="4190" xr:uid="{00000000-0005-0000-0000-0000F0080000}"/>
    <cellStyle name="Comma 4 2 5 5 2 2" xfId="8413" xr:uid="{00000000-0005-0000-0000-0000F1080000}"/>
    <cellStyle name="Comma 4 2 5 5 2 2 2" xfId="16855" xr:uid="{C5A99463-8E7A-40CC-823D-759CC3DEBADB}"/>
    <cellStyle name="Comma 4 2 5 5 2 3" xfId="12637" xr:uid="{5F6CEDF7-493D-4AAB-8983-948873AE4986}"/>
    <cellStyle name="Comma 4 2 5 5 3" xfId="6268" xr:uid="{00000000-0005-0000-0000-0000F2080000}"/>
    <cellStyle name="Comma 4 2 5 5 3 2" xfId="14710" xr:uid="{4CE0BDDA-237E-4307-B6C5-7F8279BD1E76}"/>
    <cellStyle name="Comma 4 2 5 5 4" xfId="10492" xr:uid="{118AAF76-CF24-4D6E-A938-475ADA698855}"/>
    <cellStyle name="Comma 4 2 5 6" xfId="2396" xr:uid="{00000000-0005-0000-0000-0000F3080000}"/>
    <cellStyle name="Comma 4 2 5 6 2" xfId="6681" xr:uid="{00000000-0005-0000-0000-0000F4080000}"/>
    <cellStyle name="Comma 4 2 5 6 2 2" xfId="15123" xr:uid="{610C7187-FC45-4089-9382-FC77E3E81642}"/>
    <cellStyle name="Comma 4 2 5 6 3" xfId="10905" xr:uid="{F6909EF0-8D10-4C6C-93AD-470672DEEF1A}"/>
    <cellStyle name="Comma 4 2 5 7" xfId="2367" xr:uid="{00000000-0005-0000-0000-0000F5080000}"/>
    <cellStyle name="Comma 4 2 5 8" xfId="2774" xr:uid="{00000000-0005-0000-0000-0000F6080000}"/>
    <cellStyle name="Comma 4 2 5 8 2" xfId="6998" xr:uid="{00000000-0005-0000-0000-0000F7080000}"/>
    <cellStyle name="Comma 4 2 5 8 2 2" xfId="15440" xr:uid="{381A176B-C085-4010-87A8-A26ADEFDB300}"/>
    <cellStyle name="Comma 4 2 5 8 3" xfId="11222" xr:uid="{D7DC7A3A-C7A9-4EE1-84A3-2C0A4C811490}"/>
    <cellStyle name="Comma 4 2 5 9" xfId="4615" xr:uid="{00000000-0005-0000-0000-0000F8080000}"/>
    <cellStyle name="Comma 4 2 5 9 2" xfId="13057" xr:uid="{1F31702D-5911-4BE7-9636-3576A51DB42B}"/>
    <cellStyle name="Comma 4 2 6" xfId="143" xr:uid="{00000000-0005-0000-0000-0000F9080000}"/>
    <cellStyle name="Comma 4 2 6 10" xfId="8840" xr:uid="{699552E1-8CBF-44E8-85FE-AFC106822387}"/>
    <cellStyle name="Comma 4 2 6 2" xfId="681" xr:uid="{00000000-0005-0000-0000-0000FA080000}"/>
    <cellStyle name="Comma 4 2 6 2 2" xfId="2952" xr:uid="{00000000-0005-0000-0000-0000FB080000}"/>
    <cellStyle name="Comma 4 2 6 2 2 2" xfId="7175" xr:uid="{00000000-0005-0000-0000-0000FC080000}"/>
    <cellStyle name="Comma 4 2 6 2 2 2 2" xfId="15617" xr:uid="{30BBDD21-C4E9-418F-BECB-AE811155D241}"/>
    <cellStyle name="Comma 4 2 6 2 2 3" xfId="11399" xr:uid="{16B0E014-171D-4482-9900-06545BAD23AD}"/>
    <cellStyle name="Comma 4 2 6 2 3" xfId="5030" xr:uid="{00000000-0005-0000-0000-0000FD080000}"/>
    <cellStyle name="Comma 4 2 6 2 3 2" xfId="13472" xr:uid="{665DBE5A-23D5-473F-ACF7-F44E3EA76D1A}"/>
    <cellStyle name="Comma 4 2 6 2 4" xfId="9254" xr:uid="{451AA559-983A-4281-8DD0-48467F54ABF9}"/>
    <cellStyle name="Comma 4 2 6 3" xfId="1134" xr:uid="{00000000-0005-0000-0000-0000FE080000}"/>
    <cellStyle name="Comma 4 2 6 3 2" xfId="3365" xr:uid="{00000000-0005-0000-0000-0000FF080000}"/>
    <cellStyle name="Comma 4 2 6 3 2 2" xfId="7588" xr:uid="{00000000-0005-0000-0000-000000090000}"/>
    <cellStyle name="Comma 4 2 6 3 2 2 2" xfId="16030" xr:uid="{45DD9FA9-8B63-437E-888D-7FE9F0CF99F7}"/>
    <cellStyle name="Comma 4 2 6 3 2 3" xfId="11812" xr:uid="{9B51E453-7E89-4480-BE97-A6EA9C0C7081}"/>
    <cellStyle name="Comma 4 2 6 3 3" xfId="5443" xr:uid="{00000000-0005-0000-0000-000001090000}"/>
    <cellStyle name="Comma 4 2 6 3 3 2" xfId="13885" xr:uid="{1FA29DAC-5AE4-4D4E-B765-7AD83647E8C6}"/>
    <cellStyle name="Comma 4 2 6 3 4" xfId="9667" xr:uid="{1E7821FB-73C3-4AE5-A9C5-13034BAC361D}"/>
    <cellStyle name="Comma 4 2 6 4" xfId="1548" xr:uid="{00000000-0005-0000-0000-000002090000}"/>
    <cellStyle name="Comma 4 2 6 4 2" xfId="3778" xr:uid="{00000000-0005-0000-0000-000003090000}"/>
    <cellStyle name="Comma 4 2 6 4 2 2" xfId="8001" xr:uid="{00000000-0005-0000-0000-000004090000}"/>
    <cellStyle name="Comma 4 2 6 4 2 2 2" xfId="16443" xr:uid="{569CA68D-73C8-4078-8495-47F052B4C0D5}"/>
    <cellStyle name="Comma 4 2 6 4 2 3" xfId="12225" xr:uid="{3768C483-AC46-4E5D-AD12-319B12CAB8F9}"/>
    <cellStyle name="Comma 4 2 6 4 3" xfId="5856" xr:uid="{00000000-0005-0000-0000-000005090000}"/>
    <cellStyle name="Comma 4 2 6 4 3 2" xfId="14298" xr:uid="{7F61FDA8-FEE7-444D-9ED2-75CCF4CCF315}"/>
    <cellStyle name="Comma 4 2 6 4 4" xfId="10080" xr:uid="{51D7C240-398E-491C-BD8E-F55703BDC230}"/>
    <cellStyle name="Comma 4 2 6 5" xfId="1962" xr:uid="{00000000-0005-0000-0000-000006090000}"/>
    <cellStyle name="Comma 4 2 6 5 2" xfId="4191" xr:uid="{00000000-0005-0000-0000-000007090000}"/>
    <cellStyle name="Comma 4 2 6 5 2 2" xfId="8414" xr:uid="{00000000-0005-0000-0000-000008090000}"/>
    <cellStyle name="Comma 4 2 6 5 2 2 2" xfId="16856" xr:uid="{8B5E63B4-4DAF-45AD-9E2C-AD0FA92070B1}"/>
    <cellStyle name="Comma 4 2 6 5 2 3" xfId="12638" xr:uid="{3869D6FE-A123-4D31-9450-B86029577FD3}"/>
    <cellStyle name="Comma 4 2 6 5 3" xfId="6269" xr:uid="{00000000-0005-0000-0000-000009090000}"/>
    <cellStyle name="Comma 4 2 6 5 3 2" xfId="14711" xr:uid="{C26E1B45-0C84-43D2-A2F7-6BE716480356}"/>
    <cellStyle name="Comma 4 2 6 5 4" xfId="10493" xr:uid="{850F3C05-A3F5-4408-9C44-DEDD39585FFE}"/>
    <cellStyle name="Comma 4 2 6 6" xfId="2397" xr:uid="{00000000-0005-0000-0000-00000A090000}"/>
    <cellStyle name="Comma 4 2 6 6 2" xfId="6682" xr:uid="{00000000-0005-0000-0000-00000B090000}"/>
    <cellStyle name="Comma 4 2 6 6 2 2" xfId="15124" xr:uid="{8431781E-58B2-419C-A487-E73828C75453}"/>
    <cellStyle name="Comma 4 2 6 6 3" xfId="10906" xr:uid="{B9D85DBE-5BCC-45CB-B57A-9DC2C116FEB0}"/>
    <cellStyle name="Comma 4 2 6 7" xfId="2366" xr:uid="{00000000-0005-0000-0000-00000C090000}"/>
    <cellStyle name="Comma 4 2 6 8" xfId="2775" xr:uid="{00000000-0005-0000-0000-00000D090000}"/>
    <cellStyle name="Comma 4 2 6 8 2" xfId="6999" xr:uid="{00000000-0005-0000-0000-00000E090000}"/>
    <cellStyle name="Comma 4 2 6 8 2 2" xfId="15441" xr:uid="{3DD46EA5-2A87-4792-8942-4D418573E1E5}"/>
    <cellStyle name="Comma 4 2 6 8 3" xfId="11223" xr:uid="{3B3BA54C-89A6-46E5-B18F-60627A35B27B}"/>
    <cellStyle name="Comma 4 2 6 9" xfId="4616" xr:uid="{00000000-0005-0000-0000-00000F090000}"/>
    <cellStyle name="Comma 4 2 6 9 2" xfId="13058" xr:uid="{9E2A4065-A96A-43F9-9D4B-3AD985E5879A}"/>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0 2 2" xfId="15442" xr:uid="{4F2AB0BB-9441-4083-9FEC-950B7E5511C1}"/>
    <cellStyle name="Comma 4 3 2 10 3" xfId="11224" xr:uid="{3F36BEC8-FBEB-4E07-9B35-81056BE5AB07}"/>
    <cellStyle name="Comma 4 3 2 11" xfId="4617" xr:uid="{00000000-0005-0000-0000-000014090000}"/>
    <cellStyle name="Comma 4 3 2 11 2" xfId="13059" xr:uid="{C87A3C3E-AE3B-418B-9EA1-3CF6B399DD51}"/>
    <cellStyle name="Comma 4 3 2 12" xfId="8841" xr:uid="{7CC92814-3E41-4BF3-87F9-86DEF29C57A2}"/>
    <cellStyle name="Comma 4 3 2 2" xfId="146" xr:uid="{00000000-0005-0000-0000-000015090000}"/>
    <cellStyle name="Comma 4 3 2 2 10" xfId="4618" xr:uid="{00000000-0005-0000-0000-000016090000}"/>
    <cellStyle name="Comma 4 3 2 2 10 2" xfId="13060" xr:uid="{C86175A4-5F19-428A-9BB2-15D9BD750A6B}"/>
    <cellStyle name="Comma 4 3 2 2 11" xfId="8842" xr:uid="{FF6E697B-ACA1-49AA-8614-591436D8FA79}"/>
    <cellStyle name="Comma 4 3 2 2 2" xfId="147" xr:uid="{00000000-0005-0000-0000-000017090000}"/>
    <cellStyle name="Comma 4 3 2 2 2 10" xfId="8843" xr:uid="{2D588508-A080-4BA4-8943-7A901583306E}"/>
    <cellStyle name="Comma 4 3 2 2 2 2" xfId="684" xr:uid="{00000000-0005-0000-0000-000018090000}"/>
    <cellStyle name="Comma 4 3 2 2 2 2 2" xfId="2955" xr:uid="{00000000-0005-0000-0000-000019090000}"/>
    <cellStyle name="Comma 4 3 2 2 2 2 2 2" xfId="7178" xr:uid="{00000000-0005-0000-0000-00001A090000}"/>
    <cellStyle name="Comma 4 3 2 2 2 2 2 2 2" xfId="15620" xr:uid="{F26FBE55-B78A-47F9-8C68-2008B997FFFF}"/>
    <cellStyle name="Comma 4 3 2 2 2 2 2 3" xfId="11402" xr:uid="{C0BE6CEB-0C6E-47BB-8622-1694478829CE}"/>
    <cellStyle name="Comma 4 3 2 2 2 2 3" xfId="5033" xr:uid="{00000000-0005-0000-0000-00001B090000}"/>
    <cellStyle name="Comma 4 3 2 2 2 2 3 2" xfId="13475" xr:uid="{AB590FB0-C8F7-42C2-AEA6-8FC8AFDDFC8F}"/>
    <cellStyle name="Comma 4 3 2 2 2 2 4" xfId="9257" xr:uid="{4461D2BC-EF93-42B5-ACC8-400115EB0C68}"/>
    <cellStyle name="Comma 4 3 2 2 2 3" xfId="1137" xr:uid="{00000000-0005-0000-0000-00001C090000}"/>
    <cellStyle name="Comma 4 3 2 2 2 3 2" xfId="3368" xr:uid="{00000000-0005-0000-0000-00001D090000}"/>
    <cellStyle name="Comma 4 3 2 2 2 3 2 2" xfId="7591" xr:uid="{00000000-0005-0000-0000-00001E090000}"/>
    <cellStyle name="Comma 4 3 2 2 2 3 2 2 2" xfId="16033" xr:uid="{5301D09F-3C43-4030-955D-4B1216AED871}"/>
    <cellStyle name="Comma 4 3 2 2 2 3 2 3" xfId="11815" xr:uid="{19A1FB0F-A544-47EC-8057-3AB24626E84A}"/>
    <cellStyle name="Comma 4 3 2 2 2 3 3" xfId="5446" xr:uid="{00000000-0005-0000-0000-00001F090000}"/>
    <cellStyle name="Comma 4 3 2 2 2 3 3 2" xfId="13888" xr:uid="{F6A36261-DC27-4230-8DE1-1F67F7C3F8DD}"/>
    <cellStyle name="Comma 4 3 2 2 2 3 4" xfId="9670" xr:uid="{E2258652-4B83-4BD9-BDF8-5067128A4AE6}"/>
    <cellStyle name="Comma 4 3 2 2 2 4" xfId="1551" xr:uid="{00000000-0005-0000-0000-000020090000}"/>
    <cellStyle name="Comma 4 3 2 2 2 4 2" xfId="3781" xr:uid="{00000000-0005-0000-0000-000021090000}"/>
    <cellStyle name="Comma 4 3 2 2 2 4 2 2" xfId="8004" xr:uid="{00000000-0005-0000-0000-000022090000}"/>
    <cellStyle name="Comma 4 3 2 2 2 4 2 2 2" xfId="16446" xr:uid="{CD2C9C81-678C-4582-AB32-F32FD1C52394}"/>
    <cellStyle name="Comma 4 3 2 2 2 4 2 3" xfId="12228" xr:uid="{AA5B9857-7FEF-4864-A655-F959433E6F94}"/>
    <cellStyle name="Comma 4 3 2 2 2 4 3" xfId="5859" xr:uid="{00000000-0005-0000-0000-000023090000}"/>
    <cellStyle name="Comma 4 3 2 2 2 4 3 2" xfId="14301" xr:uid="{BEFCF0A0-085E-4170-B8EC-269AC52FEE25}"/>
    <cellStyle name="Comma 4 3 2 2 2 4 4" xfId="10083" xr:uid="{486C3FBF-04E1-4B87-BF4A-7F0F8829688B}"/>
    <cellStyle name="Comma 4 3 2 2 2 5" xfId="1965" xr:uid="{00000000-0005-0000-0000-000024090000}"/>
    <cellStyle name="Comma 4 3 2 2 2 5 2" xfId="4194" xr:uid="{00000000-0005-0000-0000-000025090000}"/>
    <cellStyle name="Comma 4 3 2 2 2 5 2 2" xfId="8417" xr:uid="{00000000-0005-0000-0000-000026090000}"/>
    <cellStyle name="Comma 4 3 2 2 2 5 2 2 2" xfId="16859" xr:uid="{596158DB-4C1B-4601-9F94-0DFF2C300494}"/>
    <cellStyle name="Comma 4 3 2 2 2 5 2 3" xfId="12641" xr:uid="{9ADE9162-16BF-4061-9DF1-26B1920197C6}"/>
    <cellStyle name="Comma 4 3 2 2 2 5 3" xfId="6272" xr:uid="{00000000-0005-0000-0000-000027090000}"/>
    <cellStyle name="Comma 4 3 2 2 2 5 3 2" xfId="14714" xr:uid="{8D1DB4DB-0946-4795-BEFC-A715160EF613}"/>
    <cellStyle name="Comma 4 3 2 2 2 5 4" xfId="10496" xr:uid="{DB3558AD-9786-4250-BD6A-F6A1F78AE847}"/>
    <cellStyle name="Comma 4 3 2 2 2 6" xfId="2400" xr:uid="{00000000-0005-0000-0000-000028090000}"/>
    <cellStyle name="Comma 4 3 2 2 2 6 2" xfId="6685" xr:uid="{00000000-0005-0000-0000-000029090000}"/>
    <cellStyle name="Comma 4 3 2 2 2 6 2 2" xfId="15127" xr:uid="{585C5088-151C-4B2E-BE9D-A0423B600237}"/>
    <cellStyle name="Comma 4 3 2 2 2 6 3" xfId="10909" xr:uid="{1D3508C3-5180-4ED7-8C66-D01D1DFB31A0}"/>
    <cellStyle name="Comma 4 3 2 2 2 7" xfId="2363" xr:uid="{00000000-0005-0000-0000-00002A090000}"/>
    <cellStyle name="Comma 4 3 2 2 2 8" xfId="2778" xr:uid="{00000000-0005-0000-0000-00002B090000}"/>
    <cellStyle name="Comma 4 3 2 2 2 8 2" xfId="7002" xr:uid="{00000000-0005-0000-0000-00002C090000}"/>
    <cellStyle name="Comma 4 3 2 2 2 8 2 2" xfId="15444" xr:uid="{3CA72E4B-0F73-45C2-B0F9-6DD41EA184AA}"/>
    <cellStyle name="Comma 4 3 2 2 2 8 3" xfId="11226" xr:uid="{A4F2AC7E-77E7-42C3-AC72-6C86410C94FD}"/>
    <cellStyle name="Comma 4 3 2 2 2 9" xfId="4619" xr:uid="{00000000-0005-0000-0000-00002D090000}"/>
    <cellStyle name="Comma 4 3 2 2 2 9 2" xfId="13061" xr:uid="{665553C8-47C3-416B-A53B-9176122E6BCA}"/>
    <cellStyle name="Comma 4 3 2 2 3" xfId="683" xr:uid="{00000000-0005-0000-0000-00002E090000}"/>
    <cellStyle name="Comma 4 3 2 2 3 2" xfId="2954" xr:uid="{00000000-0005-0000-0000-00002F090000}"/>
    <cellStyle name="Comma 4 3 2 2 3 2 2" xfId="7177" xr:uid="{00000000-0005-0000-0000-000030090000}"/>
    <cellStyle name="Comma 4 3 2 2 3 2 2 2" xfId="15619" xr:uid="{208A7C82-0C6C-4FFC-A497-BD2464FE8F08}"/>
    <cellStyle name="Comma 4 3 2 2 3 2 3" xfId="11401" xr:uid="{9CFE6D31-8AFD-4F98-8C6A-A4229D9550CB}"/>
    <cellStyle name="Comma 4 3 2 2 3 3" xfId="5032" xr:uid="{00000000-0005-0000-0000-000031090000}"/>
    <cellStyle name="Comma 4 3 2 2 3 3 2" xfId="13474" xr:uid="{756A1DCF-26A7-44E7-A54D-8D1119DEB483}"/>
    <cellStyle name="Comma 4 3 2 2 3 4" xfId="9256" xr:uid="{658F6C01-7B38-4367-98E8-502000463AB1}"/>
    <cellStyle name="Comma 4 3 2 2 4" xfId="1136" xr:uid="{00000000-0005-0000-0000-000032090000}"/>
    <cellStyle name="Comma 4 3 2 2 4 2" xfId="3367" xr:uid="{00000000-0005-0000-0000-000033090000}"/>
    <cellStyle name="Comma 4 3 2 2 4 2 2" xfId="7590" xr:uid="{00000000-0005-0000-0000-000034090000}"/>
    <cellStyle name="Comma 4 3 2 2 4 2 2 2" xfId="16032" xr:uid="{B81BDD9D-A159-4C4A-AACC-5D655E3D8A4F}"/>
    <cellStyle name="Comma 4 3 2 2 4 2 3" xfId="11814" xr:uid="{7B6A4D95-4C8C-4251-B172-4A4DF0A5B4E2}"/>
    <cellStyle name="Comma 4 3 2 2 4 3" xfId="5445" xr:uid="{00000000-0005-0000-0000-000035090000}"/>
    <cellStyle name="Comma 4 3 2 2 4 3 2" xfId="13887" xr:uid="{47E705FA-BB9A-46EF-821A-A29BE31CEA9A}"/>
    <cellStyle name="Comma 4 3 2 2 4 4" xfId="9669" xr:uid="{B4167432-3246-427A-8DF9-F8146093DD18}"/>
    <cellStyle name="Comma 4 3 2 2 5" xfId="1550" xr:uid="{00000000-0005-0000-0000-000036090000}"/>
    <cellStyle name="Comma 4 3 2 2 5 2" xfId="3780" xr:uid="{00000000-0005-0000-0000-000037090000}"/>
    <cellStyle name="Comma 4 3 2 2 5 2 2" xfId="8003" xr:uid="{00000000-0005-0000-0000-000038090000}"/>
    <cellStyle name="Comma 4 3 2 2 5 2 2 2" xfId="16445" xr:uid="{37B6A3EE-FA2D-484D-9972-0491591F9F58}"/>
    <cellStyle name="Comma 4 3 2 2 5 2 3" xfId="12227" xr:uid="{A389157D-E7BC-4FB5-92A7-B92FE008B45A}"/>
    <cellStyle name="Comma 4 3 2 2 5 3" xfId="5858" xr:uid="{00000000-0005-0000-0000-000039090000}"/>
    <cellStyle name="Comma 4 3 2 2 5 3 2" xfId="14300" xr:uid="{618F2681-FB68-43A6-A753-92B5E1CB9834}"/>
    <cellStyle name="Comma 4 3 2 2 5 4" xfId="10082" xr:uid="{CDAE4AAB-6F92-4265-8EA6-4803B5472042}"/>
    <cellStyle name="Comma 4 3 2 2 6" xfId="1964" xr:uid="{00000000-0005-0000-0000-00003A090000}"/>
    <cellStyle name="Comma 4 3 2 2 6 2" xfId="4193" xr:uid="{00000000-0005-0000-0000-00003B090000}"/>
    <cellStyle name="Comma 4 3 2 2 6 2 2" xfId="8416" xr:uid="{00000000-0005-0000-0000-00003C090000}"/>
    <cellStyle name="Comma 4 3 2 2 6 2 2 2" xfId="16858" xr:uid="{80AD47FA-C733-4182-8138-F7BE61E24034}"/>
    <cellStyle name="Comma 4 3 2 2 6 2 3" xfId="12640" xr:uid="{8097BF22-E45D-442D-BAAA-6D8A603020E8}"/>
    <cellStyle name="Comma 4 3 2 2 6 3" xfId="6271" xr:uid="{00000000-0005-0000-0000-00003D090000}"/>
    <cellStyle name="Comma 4 3 2 2 6 3 2" xfId="14713" xr:uid="{3DCE5614-494A-4FCF-8078-75C857E0B845}"/>
    <cellStyle name="Comma 4 3 2 2 6 4" xfId="10495" xr:uid="{FEEB4B9E-B29D-4F94-B8F0-FEC24EF6DF9A}"/>
    <cellStyle name="Comma 4 3 2 2 7" xfId="2399" xr:uid="{00000000-0005-0000-0000-00003E090000}"/>
    <cellStyle name="Comma 4 3 2 2 7 2" xfId="6684" xr:uid="{00000000-0005-0000-0000-00003F090000}"/>
    <cellStyle name="Comma 4 3 2 2 7 2 2" xfId="15126" xr:uid="{DC082260-70E5-4981-B8B0-EF670E67EEF3}"/>
    <cellStyle name="Comma 4 3 2 2 7 3" xfId="10908" xr:uid="{33815198-0927-473C-B7AA-5F63A032024C}"/>
    <cellStyle name="Comma 4 3 2 2 8" xfId="2364" xr:uid="{00000000-0005-0000-0000-000040090000}"/>
    <cellStyle name="Comma 4 3 2 2 9" xfId="2777" xr:uid="{00000000-0005-0000-0000-000041090000}"/>
    <cellStyle name="Comma 4 3 2 2 9 2" xfId="7001" xr:uid="{00000000-0005-0000-0000-000042090000}"/>
    <cellStyle name="Comma 4 3 2 2 9 2 2" xfId="15443" xr:uid="{E3441FBE-AA32-4D6D-91D7-72745FDEAFE0}"/>
    <cellStyle name="Comma 4 3 2 2 9 3" xfId="11225" xr:uid="{C79FC494-6AFA-44D2-AEFD-29D799646924}"/>
    <cellStyle name="Comma 4 3 2 3" xfId="148" xr:uid="{00000000-0005-0000-0000-000043090000}"/>
    <cellStyle name="Comma 4 3 2 3 10" xfId="8844" xr:uid="{D3EE582B-2D4A-49F8-92C5-4085DC72AD1E}"/>
    <cellStyle name="Comma 4 3 2 3 2" xfId="685" xr:uid="{00000000-0005-0000-0000-000044090000}"/>
    <cellStyle name="Comma 4 3 2 3 2 2" xfId="2956" xr:uid="{00000000-0005-0000-0000-000045090000}"/>
    <cellStyle name="Comma 4 3 2 3 2 2 2" xfId="7179" xr:uid="{00000000-0005-0000-0000-000046090000}"/>
    <cellStyle name="Comma 4 3 2 3 2 2 2 2" xfId="15621" xr:uid="{4D722C28-EBFB-471E-93C8-03C5E8661F52}"/>
    <cellStyle name="Comma 4 3 2 3 2 2 3" xfId="11403" xr:uid="{8233FF05-F6BD-4EC8-A7DC-E1521BCB1E63}"/>
    <cellStyle name="Comma 4 3 2 3 2 3" xfId="5034" xr:uid="{00000000-0005-0000-0000-000047090000}"/>
    <cellStyle name="Comma 4 3 2 3 2 3 2" xfId="13476" xr:uid="{4EEB739D-98DF-426C-A804-1EEE1A146987}"/>
    <cellStyle name="Comma 4 3 2 3 2 4" xfId="9258" xr:uid="{3FCE429F-1A43-44DB-AFCC-38A6B0A7AFF3}"/>
    <cellStyle name="Comma 4 3 2 3 3" xfId="1138" xr:uid="{00000000-0005-0000-0000-000048090000}"/>
    <cellStyle name="Comma 4 3 2 3 3 2" xfId="3369" xr:uid="{00000000-0005-0000-0000-000049090000}"/>
    <cellStyle name="Comma 4 3 2 3 3 2 2" xfId="7592" xr:uid="{00000000-0005-0000-0000-00004A090000}"/>
    <cellStyle name="Comma 4 3 2 3 3 2 2 2" xfId="16034" xr:uid="{457A2A0C-D661-4CA6-8EC7-9059569EB93C}"/>
    <cellStyle name="Comma 4 3 2 3 3 2 3" xfId="11816" xr:uid="{1F139791-CFB2-4484-9FB4-1696CBE0D29C}"/>
    <cellStyle name="Comma 4 3 2 3 3 3" xfId="5447" xr:uid="{00000000-0005-0000-0000-00004B090000}"/>
    <cellStyle name="Comma 4 3 2 3 3 3 2" xfId="13889" xr:uid="{57EE9B43-B4F4-41D7-BC9F-0F7BCE2BDA69}"/>
    <cellStyle name="Comma 4 3 2 3 3 4" xfId="9671" xr:uid="{1F630757-3E83-4159-BBCE-A39E0B5BEF51}"/>
    <cellStyle name="Comma 4 3 2 3 4" xfId="1552" xr:uid="{00000000-0005-0000-0000-00004C090000}"/>
    <cellStyle name="Comma 4 3 2 3 4 2" xfId="3782" xr:uid="{00000000-0005-0000-0000-00004D090000}"/>
    <cellStyle name="Comma 4 3 2 3 4 2 2" xfId="8005" xr:uid="{00000000-0005-0000-0000-00004E090000}"/>
    <cellStyle name="Comma 4 3 2 3 4 2 2 2" xfId="16447" xr:uid="{7ECCC1ED-92CC-4BCA-BCE6-23E389FA1748}"/>
    <cellStyle name="Comma 4 3 2 3 4 2 3" xfId="12229" xr:uid="{116F6BCC-E4F9-4604-9296-ECB4A3573005}"/>
    <cellStyle name="Comma 4 3 2 3 4 3" xfId="5860" xr:uid="{00000000-0005-0000-0000-00004F090000}"/>
    <cellStyle name="Comma 4 3 2 3 4 3 2" xfId="14302" xr:uid="{D9E71C1A-FC41-45F0-87F5-7DEA40EA3136}"/>
    <cellStyle name="Comma 4 3 2 3 4 4" xfId="10084" xr:uid="{F7D166B1-2961-4AE7-AFEC-BBDC3779C6DB}"/>
    <cellStyle name="Comma 4 3 2 3 5" xfId="1966" xr:uid="{00000000-0005-0000-0000-000050090000}"/>
    <cellStyle name="Comma 4 3 2 3 5 2" xfId="4195" xr:uid="{00000000-0005-0000-0000-000051090000}"/>
    <cellStyle name="Comma 4 3 2 3 5 2 2" xfId="8418" xr:uid="{00000000-0005-0000-0000-000052090000}"/>
    <cellStyle name="Comma 4 3 2 3 5 2 2 2" xfId="16860" xr:uid="{1653404B-6FFD-4C59-8EBC-4E7A93DCDE05}"/>
    <cellStyle name="Comma 4 3 2 3 5 2 3" xfId="12642" xr:uid="{94B2A9F9-DB05-4B49-B116-590F71EAC622}"/>
    <cellStyle name="Comma 4 3 2 3 5 3" xfId="6273" xr:uid="{00000000-0005-0000-0000-000053090000}"/>
    <cellStyle name="Comma 4 3 2 3 5 3 2" xfId="14715" xr:uid="{E362DC44-53F1-4A20-8CC4-30F56006A492}"/>
    <cellStyle name="Comma 4 3 2 3 5 4" xfId="10497" xr:uid="{CE8D1FC4-E624-410A-BE62-215DCAB7AB68}"/>
    <cellStyle name="Comma 4 3 2 3 6" xfId="2401" xr:uid="{00000000-0005-0000-0000-000054090000}"/>
    <cellStyle name="Comma 4 3 2 3 6 2" xfId="6686" xr:uid="{00000000-0005-0000-0000-000055090000}"/>
    <cellStyle name="Comma 4 3 2 3 6 2 2" xfId="15128" xr:uid="{BF68F57A-B11C-4E97-8802-5105DC1C0BF1}"/>
    <cellStyle name="Comma 4 3 2 3 6 3" xfId="10910" xr:uid="{4E725A17-10EC-489C-AFB6-06FFEBB41471}"/>
    <cellStyle name="Comma 4 3 2 3 7" xfId="2362" xr:uid="{00000000-0005-0000-0000-000056090000}"/>
    <cellStyle name="Comma 4 3 2 3 8" xfId="2779" xr:uid="{00000000-0005-0000-0000-000057090000}"/>
    <cellStyle name="Comma 4 3 2 3 8 2" xfId="7003" xr:uid="{00000000-0005-0000-0000-000058090000}"/>
    <cellStyle name="Comma 4 3 2 3 8 2 2" xfId="15445" xr:uid="{234A8CC4-711E-4814-8234-3B503F5FAB6A}"/>
    <cellStyle name="Comma 4 3 2 3 8 3" xfId="11227" xr:uid="{8F37882C-B44B-44C3-85FB-C956462CEEAE}"/>
    <cellStyle name="Comma 4 3 2 3 9" xfId="4620" xr:uid="{00000000-0005-0000-0000-000059090000}"/>
    <cellStyle name="Comma 4 3 2 3 9 2" xfId="13062" xr:uid="{D8F03837-0CEA-4E37-9314-1EB6276C7FC0}"/>
    <cellStyle name="Comma 4 3 2 4" xfId="682" xr:uid="{00000000-0005-0000-0000-00005A090000}"/>
    <cellStyle name="Comma 4 3 2 4 2" xfId="2953" xr:uid="{00000000-0005-0000-0000-00005B090000}"/>
    <cellStyle name="Comma 4 3 2 4 2 2" xfId="7176" xr:uid="{00000000-0005-0000-0000-00005C090000}"/>
    <cellStyle name="Comma 4 3 2 4 2 2 2" xfId="15618" xr:uid="{7199B003-BBBF-44FB-979A-C4C177851D07}"/>
    <cellStyle name="Comma 4 3 2 4 2 3" xfId="11400" xr:uid="{0C3F9328-6195-4CC2-B3DD-AA5EA5401DEB}"/>
    <cellStyle name="Comma 4 3 2 4 3" xfId="5031" xr:uid="{00000000-0005-0000-0000-00005D090000}"/>
    <cellStyle name="Comma 4 3 2 4 3 2" xfId="13473" xr:uid="{B6FC99EE-A33B-454D-9BFE-AAE707E9A114}"/>
    <cellStyle name="Comma 4 3 2 4 4" xfId="9255" xr:uid="{16666DA8-216D-4F8A-A4F8-926FB80E764F}"/>
    <cellStyle name="Comma 4 3 2 5" xfId="1135" xr:uid="{00000000-0005-0000-0000-00005E090000}"/>
    <cellStyle name="Comma 4 3 2 5 2" xfId="3366" xr:uid="{00000000-0005-0000-0000-00005F090000}"/>
    <cellStyle name="Comma 4 3 2 5 2 2" xfId="7589" xr:uid="{00000000-0005-0000-0000-000060090000}"/>
    <cellStyle name="Comma 4 3 2 5 2 2 2" xfId="16031" xr:uid="{E357D224-BD91-4932-AD1F-B8D90B9097EB}"/>
    <cellStyle name="Comma 4 3 2 5 2 3" xfId="11813" xr:uid="{8409131E-ED07-48FE-BDFE-8651E8A4A00D}"/>
    <cellStyle name="Comma 4 3 2 5 3" xfId="5444" xr:uid="{00000000-0005-0000-0000-000061090000}"/>
    <cellStyle name="Comma 4 3 2 5 3 2" xfId="13886" xr:uid="{81E6FC48-E35B-4FEA-A53C-DB962D2E44C0}"/>
    <cellStyle name="Comma 4 3 2 5 4" xfId="9668" xr:uid="{A6776E64-16D7-4A03-AE1B-26EAE029F477}"/>
    <cellStyle name="Comma 4 3 2 6" xfId="1549" xr:uid="{00000000-0005-0000-0000-000062090000}"/>
    <cellStyle name="Comma 4 3 2 6 2" xfId="3779" xr:uid="{00000000-0005-0000-0000-000063090000}"/>
    <cellStyle name="Comma 4 3 2 6 2 2" xfId="8002" xr:uid="{00000000-0005-0000-0000-000064090000}"/>
    <cellStyle name="Comma 4 3 2 6 2 2 2" xfId="16444" xr:uid="{3881EAD9-03DC-4F79-995B-9216B82F67F8}"/>
    <cellStyle name="Comma 4 3 2 6 2 3" xfId="12226" xr:uid="{D319FE5C-F3AC-4084-BF71-17D6A1404802}"/>
    <cellStyle name="Comma 4 3 2 6 3" xfId="5857" xr:uid="{00000000-0005-0000-0000-000065090000}"/>
    <cellStyle name="Comma 4 3 2 6 3 2" xfId="14299" xr:uid="{277EDE03-46C2-4A41-87B8-7DE9B20A1E21}"/>
    <cellStyle name="Comma 4 3 2 6 4" xfId="10081" xr:uid="{91B48D84-1E9C-4218-8C7C-531C5C621FDB}"/>
    <cellStyle name="Comma 4 3 2 7" xfId="1963" xr:uid="{00000000-0005-0000-0000-000066090000}"/>
    <cellStyle name="Comma 4 3 2 7 2" xfId="4192" xr:uid="{00000000-0005-0000-0000-000067090000}"/>
    <cellStyle name="Comma 4 3 2 7 2 2" xfId="8415" xr:uid="{00000000-0005-0000-0000-000068090000}"/>
    <cellStyle name="Comma 4 3 2 7 2 2 2" xfId="16857" xr:uid="{8BC49F7A-8A87-44FB-B56C-549F018C154B}"/>
    <cellStyle name="Comma 4 3 2 7 2 3" xfId="12639" xr:uid="{DC9BC38F-4112-495E-AAF2-ABEAC2B27203}"/>
    <cellStyle name="Comma 4 3 2 7 3" xfId="6270" xr:uid="{00000000-0005-0000-0000-000069090000}"/>
    <cellStyle name="Comma 4 3 2 7 3 2" xfId="14712" xr:uid="{6385DCFA-6250-462F-A5CB-079A706F7072}"/>
    <cellStyle name="Comma 4 3 2 7 4" xfId="10494" xr:uid="{CB435930-C442-4BD5-9DA5-E6EAD319BE2C}"/>
    <cellStyle name="Comma 4 3 2 8" xfId="2398" xr:uid="{00000000-0005-0000-0000-00006A090000}"/>
    <cellStyle name="Comma 4 3 2 8 2" xfId="6683" xr:uid="{00000000-0005-0000-0000-00006B090000}"/>
    <cellStyle name="Comma 4 3 2 8 2 2" xfId="15125" xr:uid="{B81F1D13-EEEA-4216-BAEA-8E6ABE47D5EC}"/>
    <cellStyle name="Comma 4 3 2 8 3" xfId="10907" xr:uid="{53A541A3-2D1D-432F-8FF4-FD50A189362C}"/>
    <cellStyle name="Comma 4 3 2 9" xfId="2365" xr:uid="{00000000-0005-0000-0000-00006C090000}"/>
    <cellStyle name="Comma 4 3 3" xfId="149" xr:uid="{00000000-0005-0000-0000-00006D090000}"/>
    <cellStyle name="Comma 4 3 3 10" xfId="4621" xr:uid="{00000000-0005-0000-0000-00006E090000}"/>
    <cellStyle name="Comma 4 3 3 10 2" xfId="13063" xr:uid="{5AC07870-DEE0-4F19-8B92-26E2667ED6B6}"/>
    <cellStyle name="Comma 4 3 3 11" xfId="8845" xr:uid="{E16071B5-59C3-442F-8DFA-59C6FF0AD7A3}"/>
    <cellStyle name="Comma 4 3 3 2" xfId="150" xr:uid="{00000000-0005-0000-0000-00006F090000}"/>
    <cellStyle name="Comma 4 3 3 2 10" xfId="8846" xr:uid="{8695F015-0248-4214-A142-DAC675CEA917}"/>
    <cellStyle name="Comma 4 3 3 2 2" xfId="687" xr:uid="{00000000-0005-0000-0000-000070090000}"/>
    <cellStyle name="Comma 4 3 3 2 2 2" xfId="2958" xr:uid="{00000000-0005-0000-0000-000071090000}"/>
    <cellStyle name="Comma 4 3 3 2 2 2 2" xfId="7181" xr:uid="{00000000-0005-0000-0000-000072090000}"/>
    <cellStyle name="Comma 4 3 3 2 2 2 2 2" xfId="15623" xr:uid="{B885EC30-A3AA-47EF-983F-B1DAC98CCB7D}"/>
    <cellStyle name="Comma 4 3 3 2 2 2 3" xfId="11405" xr:uid="{F4C255CE-2A5D-4D9D-B1E2-3E679CD87414}"/>
    <cellStyle name="Comma 4 3 3 2 2 3" xfId="5036" xr:uid="{00000000-0005-0000-0000-000073090000}"/>
    <cellStyle name="Comma 4 3 3 2 2 3 2" xfId="13478" xr:uid="{0F7D0C7D-41BD-4F13-92B4-59B11214AE59}"/>
    <cellStyle name="Comma 4 3 3 2 2 4" xfId="9260" xr:uid="{91E9E8F8-7080-49C8-9819-176A22C9BC8B}"/>
    <cellStyle name="Comma 4 3 3 2 3" xfId="1140" xr:uid="{00000000-0005-0000-0000-000074090000}"/>
    <cellStyle name="Comma 4 3 3 2 3 2" xfId="3371" xr:uid="{00000000-0005-0000-0000-000075090000}"/>
    <cellStyle name="Comma 4 3 3 2 3 2 2" xfId="7594" xr:uid="{00000000-0005-0000-0000-000076090000}"/>
    <cellStyle name="Comma 4 3 3 2 3 2 2 2" xfId="16036" xr:uid="{BAE19A51-6955-4959-83BD-A482BDFA9CD8}"/>
    <cellStyle name="Comma 4 3 3 2 3 2 3" xfId="11818" xr:uid="{642BB627-304C-4737-8892-0D9D80F2C3E9}"/>
    <cellStyle name="Comma 4 3 3 2 3 3" xfId="5449" xr:uid="{00000000-0005-0000-0000-000077090000}"/>
    <cellStyle name="Comma 4 3 3 2 3 3 2" xfId="13891" xr:uid="{D20E3531-1EDE-4372-9EA0-594B8F515269}"/>
    <cellStyle name="Comma 4 3 3 2 3 4" xfId="9673" xr:uid="{53A32B40-9BF6-49E1-82A4-BCBC7BCF2D51}"/>
    <cellStyle name="Comma 4 3 3 2 4" xfId="1554" xr:uid="{00000000-0005-0000-0000-000078090000}"/>
    <cellStyle name="Comma 4 3 3 2 4 2" xfId="3784" xr:uid="{00000000-0005-0000-0000-000079090000}"/>
    <cellStyle name="Comma 4 3 3 2 4 2 2" xfId="8007" xr:uid="{00000000-0005-0000-0000-00007A090000}"/>
    <cellStyle name="Comma 4 3 3 2 4 2 2 2" xfId="16449" xr:uid="{AA29EFA9-8FB8-4061-BD76-ECC2A4EE9E1C}"/>
    <cellStyle name="Comma 4 3 3 2 4 2 3" xfId="12231" xr:uid="{AFB6F45C-5BE9-4138-90F2-B0F4A7835876}"/>
    <cellStyle name="Comma 4 3 3 2 4 3" xfId="5862" xr:uid="{00000000-0005-0000-0000-00007B090000}"/>
    <cellStyle name="Comma 4 3 3 2 4 3 2" xfId="14304" xr:uid="{A04F3E99-88C5-4259-8C54-07AC1A0518C8}"/>
    <cellStyle name="Comma 4 3 3 2 4 4" xfId="10086" xr:uid="{A914B45B-2B49-4293-9A2A-B1197DE95890}"/>
    <cellStyle name="Comma 4 3 3 2 5" xfId="1968" xr:uid="{00000000-0005-0000-0000-00007C090000}"/>
    <cellStyle name="Comma 4 3 3 2 5 2" xfId="4197" xr:uid="{00000000-0005-0000-0000-00007D090000}"/>
    <cellStyle name="Comma 4 3 3 2 5 2 2" xfId="8420" xr:uid="{00000000-0005-0000-0000-00007E090000}"/>
    <cellStyle name="Comma 4 3 3 2 5 2 2 2" xfId="16862" xr:uid="{4D290D50-A214-4C96-B53E-1E001752772C}"/>
    <cellStyle name="Comma 4 3 3 2 5 2 3" xfId="12644" xr:uid="{18E491E5-6EF6-4657-82EC-AFB1B7A31F0B}"/>
    <cellStyle name="Comma 4 3 3 2 5 3" xfId="6275" xr:uid="{00000000-0005-0000-0000-00007F090000}"/>
    <cellStyle name="Comma 4 3 3 2 5 3 2" xfId="14717" xr:uid="{0EF44195-BB6C-4B43-A9D4-DF0FC9A68014}"/>
    <cellStyle name="Comma 4 3 3 2 5 4" xfId="10499" xr:uid="{4ED9FD0E-35BF-4CB3-B1BA-9D1652E3F93D}"/>
    <cellStyle name="Comma 4 3 3 2 6" xfId="2403" xr:uid="{00000000-0005-0000-0000-000080090000}"/>
    <cellStyle name="Comma 4 3 3 2 6 2" xfId="6688" xr:uid="{00000000-0005-0000-0000-000081090000}"/>
    <cellStyle name="Comma 4 3 3 2 6 2 2" xfId="15130" xr:uid="{1C7DBA0B-728E-4E77-BFE5-2451C38309D6}"/>
    <cellStyle name="Comma 4 3 3 2 6 3" xfId="10912" xr:uid="{CE3600F7-8EF5-484B-92CD-0A33C600DC33}"/>
    <cellStyle name="Comma 4 3 3 2 7" xfId="2360" xr:uid="{00000000-0005-0000-0000-000082090000}"/>
    <cellStyle name="Comma 4 3 3 2 8" xfId="2781" xr:uid="{00000000-0005-0000-0000-000083090000}"/>
    <cellStyle name="Comma 4 3 3 2 8 2" xfId="7005" xr:uid="{00000000-0005-0000-0000-000084090000}"/>
    <cellStyle name="Comma 4 3 3 2 8 2 2" xfId="15447" xr:uid="{33B7038E-31B1-40FE-8D46-9A880325941A}"/>
    <cellStyle name="Comma 4 3 3 2 8 3" xfId="11229" xr:uid="{B4EF8F1E-7B0D-40FF-9964-7D6A301374B2}"/>
    <cellStyle name="Comma 4 3 3 2 9" xfId="4622" xr:uid="{00000000-0005-0000-0000-000085090000}"/>
    <cellStyle name="Comma 4 3 3 2 9 2" xfId="13064" xr:uid="{796D49C3-617C-4B23-91F0-D74EBB6F8F8E}"/>
    <cellStyle name="Comma 4 3 3 3" xfId="686" xr:uid="{00000000-0005-0000-0000-000086090000}"/>
    <cellStyle name="Comma 4 3 3 3 2" xfId="2957" xr:uid="{00000000-0005-0000-0000-000087090000}"/>
    <cellStyle name="Comma 4 3 3 3 2 2" xfId="7180" xr:uid="{00000000-0005-0000-0000-000088090000}"/>
    <cellStyle name="Comma 4 3 3 3 2 2 2" xfId="15622" xr:uid="{0F4CFE65-B7DD-4D55-B997-358BF2A347F1}"/>
    <cellStyle name="Comma 4 3 3 3 2 3" xfId="11404" xr:uid="{635B4059-81BB-406E-8E6E-1DC873B24E03}"/>
    <cellStyle name="Comma 4 3 3 3 3" xfId="5035" xr:uid="{00000000-0005-0000-0000-000089090000}"/>
    <cellStyle name="Comma 4 3 3 3 3 2" xfId="13477" xr:uid="{339CA014-4B38-4E88-A321-F2DED2311FA8}"/>
    <cellStyle name="Comma 4 3 3 3 4" xfId="9259" xr:uid="{DE114D74-BB31-44BA-AD24-72B3A8C00FAF}"/>
    <cellStyle name="Comma 4 3 3 4" xfId="1139" xr:uid="{00000000-0005-0000-0000-00008A090000}"/>
    <cellStyle name="Comma 4 3 3 4 2" xfId="3370" xr:uid="{00000000-0005-0000-0000-00008B090000}"/>
    <cellStyle name="Comma 4 3 3 4 2 2" xfId="7593" xr:uid="{00000000-0005-0000-0000-00008C090000}"/>
    <cellStyle name="Comma 4 3 3 4 2 2 2" xfId="16035" xr:uid="{B2D4CCF7-6AA3-4650-A748-8A3C08F322EF}"/>
    <cellStyle name="Comma 4 3 3 4 2 3" xfId="11817" xr:uid="{0DC3DFF4-2361-4B0C-878B-0B07E1E997BF}"/>
    <cellStyle name="Comma 4 3 3 4 3" xfId="5448" xr:uid="{00000000-0005-0000-0000-00008D090000}"/>
    <cellStyle name="Comma 4 3 3 4 3 2" xfId="13890" xr:uid="{A7F6D774-E4BC-4E98-B2D9-6B50F820096C}"/>
    <cellStyle name="Comma 4 3 3 4 4" xfId="9672" xr:uid="{B57F8957-BFB5-4C5E-8D5F-7159BB1947C5}"/>
    <cellStyle name="Comma 4 3 3 5" xfId="1553" xr:uid="{00000000-0005-0000-0000-00008E090000}"/>
    <cellStyle name="Comma 4 3 3 5 2" xfId="3783" xr:uid="{00000000-0005-0000-0000-00008F090000}"/>
    <cellStyle name="Comma 4 3 3 5 2 2" xfId="8006" xr:uid="{00000000-0005-0000-0000-000090090000}"/>
    <cellStyle name="Comma 4 3 3 5 2 2 2" xfId="16448" xr:uid="{1F5338CB-DDEA-4130-A0BB-9637A817DE3D}"/>
    <cellStyle name="Comma 4 3 3 5 2 3" xfId="12230" xr:uid="{421758BE-67EE-41B9-BA3C-72E452F0F284}"/>
    <cellStyle name="Comma 4 3 3 5 3" xfId="5861" xr:uid="{00000000-0005-0000-0000-000091090000}"/>
    <cellStyle name="Comma 4 3 3 5 3 2" xfId="14303" xr:uid="{3CD7D343-249E-4A99-B1C0-1105F5BAAFAB}"/>
    <cellStyle name="Comma 4 3 3 5 4" xfId="10085" xr:uid="{342BFFE5-D522-4E5C-AE68-4F9D8D67F3E8}"/>
    <cellStyle name="Comma 4 3 3 6" xfId="1967" xr:uid="{00000000-0005-0000-0000-000092090000}"/>
    <cellStyle name="Comma 4 3 3 6 2" xfId="4196" xr:uid="{00000000-0005-0000-0000-000093090000}"/>
    <cellStyle name="Comma 4 3 3 6 2 2" xfId="8419" xr:uid="{00000000-0005-0000-0000-000094090000}"/>
    <cellStyle name="Comma 4 3 3 6 2 2 2" xfId="16861" xr:uid="{3B99B4FE-25F5-4604-89C0-6719CC17D4D9}"/>
    <cellStyle name="Comma 4 3 3 6 2 3" xfId="12643" xr:uid="{026C2387-7058-4A2F-B787-389DE7D7CD60}"/>
    <cellStyle name="Comma 4 3 3 6 3" xfId="6274" xr:uid="{00000000-0005-0000-0000-000095090000}"/>
    <cellStyle name="Comma 4 3 3 6 3 2" xfId="14716" xr:uid="{08C8B1B1-36BF-44F8-8ED9-710A663C1804}"/>
    <cellStyle name="Comma 4 3 3 6 4" xfId="10498" xr:uid="{203F5FBB-B4D4-4956-A821-96C3C2B9FE65}"/>
    <cellStyle name="Comma 4 3 3 7" xfId="2402" xr:uid="{00000000-0005-0000-0000-000096090000}"/>
    <cellStyle name="Comma 4 3 3 7 2" xfId="6687" xr:uid="{00000000-0005-0000-0000-000097090000}"/>
    <cellStyle name="Comma 4 3 3 7 2 2" xfId="15129" xr:uid="{069999EC-89FD-4541-AF75-3CD52D0F6093}"/>
    <cellStyle name="Comma 4 3 3 7 3" xfId="10911" xr:uid="{A2241AAC-D07D-4257-B236-B695F3BE3C4B}"/>
    <cellStyle name="Comma 4 3 3 8" xfId="2361" xr:uid="{00000000-0005-0000-0000-000098090000}"/>
    <cellStyle name="Comma 4 3 3 9" xfId="2780" xr:uid="{00000000-0005-0000-0000-000099090000}"/>
    <cellStyle name="Comma 4 3 3 9 2" xfId="7004" xr:uid="{00000000-0005-0000-0000-00009A090000}"/>
    <cellStyle name="Comma 4 3 3 9 2 2" xfId="15446" xr:uid="{16086D40-D227-4654-9C3E-D46C75155D63}"/>
    <cellStyle name="Comma 4 3 3 9 3" xfId="11228" xr:uid="{E1E5F5B8-9505-4717-B4F9-8E1031B799C8}"/>
    <cellStyle name="Comma 4 3 4" xfId="151" xr:uid="{00000000-0005-0000-0000-00009B090000}"/>
    <cellStyle name="Comma 4 3 4 10" xfId="8847" xr:uid="{52C1C8B9-F200-421E-A066-9A45B4A58EB4}"/>
    <cellStyle name="Comma 4 3 4 2" xfId="688" xr:uid="{00000000-0005-0000-0000-00009C090000}"/>
    <cellStyle name="Comma 4 3 4 2 2" xfId="2959" xr:uid="{00000000-0005-0000-0000-00009D090000}"/>
    <cellStyle name="Comma 4 3 4 2 2 2" xfId="7182" xr:uid="{00000000-0005-0000-0000-00009E090000}"/>
    <cellStyle name="Comma 4 3 4 2 2 2 2" xfId="15624" xr:uid="{1B61465F-2042-442A-8473-BF3794D1EAFA}"/>
    <cellStyle name="Comma 4 3 4 2 2 3" xfId="11406" xr:uid="{966AD0FF-FDB9-40E5-8165-D7B5D5A4CC72}"/>
    <cellStyle name="Comma 4 3 4 2 3" xfId="5037" xr:uid="{00000000-0005-0000-0000-00009F090000}"/>
    <cellStyle name="Comma 4 3 4 2 3 2" xfId="13479" xr:uid="{DD0478F8-A694-4BE7-A0F8-549E623EB116}"/>
    <cellStyle name="Comma 4 3 4 2 4" xfId="9261" xr:uid="{37BED95E-B468-42B8-91B2-F822CA95F899}"/>
    <cellStyle name="Comma 4 3 4 3" xfId="1141" xr:uid="{00000000-0005-0000-0000-0000A0090000}"/>
    <cellStyle name="Comma 4 3 4 3 2" xfId="3372" xr:uid="{00000000-0005-0000-0000-0000A1090000}"/>
    <cellStyle name="Comma 4 3 4 3 2 2" xfId="7595" xr:uid="{00000000-0005-0000-0000-0000A2090000}"/>
    <cellStyle name="Comma 4 3 4 3 2 2 2" xfId="16037" xr:uid="{860A7513-589D-49C3-9464-B78E54C9075B}"/>
    <cellStyle name="Comma 4 3 4 3 2 3" xfId="11819" xr:uid="{37C58BB7-3E9F-44A1-8AC4-DF40187D2BEF}"/>
    <cellStyle name="Comma 4 3 4 3 3" xfId="5450" xr:uid="{00000000-0005-0000-0000-0000A3090000}"/>
    <cellStyle name="Comma 4 3 4 3 3 2" xfId="13892" xr:uid="{CC82ACDF-2A1C-4346-ADDE-4E4BCC9E480D}"/>
    <cellStyle name="Comma 4 3 4 3 4" xfId="9674" xr:uid="{98992015-C7DB-4EE6-ADBD-D1C57F364A30}"/>
    <cellStyle name="Comma 4 3 4 4" xfId="1555" xr:uid="{00000000-0005-0000-0000-0000A4090000}"/>
    <cellStyle name="Comma 4 3 4 4 2" xfId="3785" xr:uid="{00000000-0005-0000-0000-0000A5090000}"/>
    <cellStyle name="Comma 4 3 4 4 2 2" xfId="8008" xr:uid="{00000000-0005-0000-0000-0000A6090000}"/>
    <cellStyle name="Comma 4 3 4 4 2 2 2" xfId="16450" xr:uid="{EC813BC8-5A15-4711-9220-05C439F426DE}"/>
    <cellStyle name="Comma 4 3 4 4 2 3" xfId="12232" xr:uid="{5CA04F6C-0557-4EBD-B2F1-136D3CABC951}"/>
    <cellStyle name="Comma 4 3 4 4 3" xfId="5863" xr:uid="{00000000-0005-0000-0000-0000A7090000}"/>
    <cellStyle name="Comma 4 3 4 4 3 2" xfId="14305" xr:uid="{E786D5D2-6E43-47DA-8253-5736DAAE8927}"/>
    <cellStyle name="Comma 4 3 4 4 4" xfId="10087" xr:uid="{9D70C68F-F697-4F87-B18A-9D1333590FFB}"/>
    <cellStyle name="Comma 4 3 4 5" xfId="1969" xr:uid="{00000000-0005-0000-0000-0000A8090000}"/>
    <cellStyle name="Comma 4 3 4 5 2" xfId="4198" xr:uid="{00000000-0005-0000-0000-0000A9090000}"/>
    <cellStyle name="Comma 4 3 4 5 2 2" xfId="8421" xr:uid="{00000000-0005-0000-0000-0000AA090000}"/>
    <cellStyle name="Comma 4 3 4 5 2 2 2" xfId="16863" xr:uid="{55DC91C1-3810-473B-A5BC-6AE6335795E2}"/>
    <cellStyle name="Comma 4 3 4 5 2 3" xfId="12645" xr:uid="{2B22D53C-E498-4182-AD89-3857E52CF855}"/>
    <cellStyle name="Comma 4 3 4 5 3" xfId="6276" xr:uid="{00000000-0005-0000-0000-0000AB090000}"/>
    <cellStyle name="Comma 4 3 4 5 3 2" xfId="14718" xr:uid="{CFD50DD9-9DEA-4A62-A00E-A5803FEF78DE}"/>
    <cellStyle name="Comma 4 3 4 5 4" xfId="10500" xr:uid="{877921A2-514E-4E25-868B-2037E4570799}"/>
    <cellStyle name="Comma 4 3 4 6" xfId="2404" xr:uid="{00000000-0005-0000-0000-0000AC090000}"/>
    <cellStyle name="Comma 4 3 4 6 2" xfId="6689" xr:uid="{00000000-0005-0000-0000-0000AD090000}"/>
    <cellStyle name="Comma 4 3 4 6 2 2" xfId="15131" xr:uid="{88207912-EC51-438F-890C-29657BADFB0C}"/>
    <cellStyle name="Comma 4 3 4 6 3" xfId="10913" xr:uid="{E95F23E0-7098-4591-8AE7-2C431898955F}"/>
    <cellStyle name="Comma 4 3 4 7" xfId="2700" xr:uid="{00000000-0005-0000-0000-0000AE090000}"/>
    <cellStyle name="Comma 4 3 4 8" xfId="2782" xr:uid="{00000000-0005-0000-0000-0000AF090000}"/>
    <cellStyle name="Comma 4 3 4 8 2" xfId="7006" xr:uid="{00000000-0005-0000-0000-0000B0090000}"/>
    <cellStyle name="Comma 4 3 4 8 2 2" xfId="15448" xr:uid="{2390A67C-9768-4053-8F7C-38682BFDD0D6}"/>
    <cellStyle name="Comma 4 3 4 8 3" xfId="11230" xr:uid="{D04C0157-ADC5-43E6-B289-E6B8F6C48FB6}"/>
    <cellStyle name="Comma 4 3 4 9" xfId="4623" xr:uid="{00000000-0005-0000-0000-0000B1090000}"/>
    <cellStyle name="Comma 4 3 4 9 2" xfId="13065" xr:uid="{E747CACE-82A1-45C9-A4EA-EA3FE6A502DD}"/>
    <cellStyle name="Comma 4 3 5" xfId="152" xr:uid="{00000000-0005-0000-0000-0000B2090000}"/>
    <cellStyle name="Comma 4 3 5 10" xfId="8848" xr:uid="{F3DAA5B6-D932-4527-9DB0-AFB472FD313A}"/>
    <cellStyle name="Comma 4 3 5 2" xfId="689" xr:uid="{00000000-0005-0000-0000-0000B3090000}"/>
    <cellStyle name="Comma 4 3 5 2 2" xfId="2960" xr:uid="{00000000-0005-0000-0000-0000B4090000}"/>
    <cellStyle name="Comma 4 3 5 2 2 2" xfId="7183" xr:uid="{00000000-0005-0000-0000-0000B5090000}"/>
    <cellStyle name="Comma 4 3 5 2 2 2 2" xfId="15625" xr:uid="{795DC03E-1CA9-443B-ADFD-57B31361B0EA}"/>
    <cellStyle name="Comma 4 3 5 2 2 3" xfId="11407" xr:uid="{726C0806-EDD6-4D3E-AF79-7FF8E0CDCB79}"/>
    <cellStyle name="Comma 4 3 5 2 3" xfId="5038" xr:uid="{00000000-0005-0000-0000-0000B6090000}"/>
    <cellStyle name="Comma 4 3 5 2 3 2" xfId="13480" xr:uid="{07A72834-B1E8-488A-9B1D-CF05CDAEEE57}"/>
    <cellStyle name="Comma 4 3 5 2 4" xfId="9262" xr:uid="{2F6C0396-1B01-490C-98B0-9D97216043F1}"/>
    <cellStyle name="Comma 4 3 5 3" xfId="1142" xr:uid="{00000000-0005-0000-0000-0000B7090000}"/>
    <cellStyle name="Comma 4 3 5 3 2" xfId="3373" xr:uid="{00000000-0005-0000-0000-0000B8090000}"/>
    <cellStyle name="Comma 4 3 5 3 2 2" xfId="7596" xr:uid="{00000000-0005-0000-0000-0000B9090000}"/>
    <cellStyle name="Comma 4 3 5 3 2 2 2" xfId="16038" xr:uid="{1CB31A5D-6A09-4CC5-8B65-3733B085D56D}"/>
    <cellStyle name="Comma 4 3 5 3 2 3" xfId="11820" xr:uid="{DBDAD1EB-55E7-4AA0-9F25-F4EDDD000B9A}"/>
    <cellStyle name="Comma 4 3 5 3 3" xfId="5451" xr:uid="{00000000-0005-0000-0000-0000BA090000}"/>
    <cellStyle name="Comma 4 3 5 3 3 2" xfId="13893" xr:uid="{0D176C11-B04E-4A1F-84A3-3DC913E6CB21}"/>
    <cellStyle name="Comma 4 3 5 3 4" xfId="9675" xr:uid="{DBB94D36-BB31-4BB9-BA90-17DC5D394DC8}"/>
    <cellStyle name="Comma 4 3 5 4" xfId="1556" xr:uid="{00000000-0005-0000-0000-0000BB090000}"/>
    <cellStyle name="Comma 4 3 5 4 2" xfId="3786" xr:uid="{00000000-0005-0000-0000-0000BC090000}"/>
    <cellStyle name="Comma 4 3 5 4 2 2" xfId="8009" xr:uid="{00000000-0005-0000-0000-0000BD090000}"/>
    <cellStyle name="Comma 4 3 5 4 2 2 2" xfId="16451" xr:uid="{66F97B76-4BB2-43A3-B987-8F11FDED67BB}"/>
    <cellStyle name="Comma 4 3 5 4 2 3" xfId="12233" xr:uid="{ADA4D767-F96B-441F-A598-62E6C1C6FFCE}"/>
    <cellStyle name="Comma 4 3 5 4 3" xfId="5864" xr:uid="{00000000-0005-0000-0000-0000BE090000}"/>
    <cellStyle name="Comma 4 3 5 4 3 2" xfId="14306" xr:uid="{BD04F4B9-DE91-4EEC-8E5D-17E916ADCFA3}"/>
    <cellStyle name="Comma 4 3 5 4 4" xfId="10088" xr:uid="{87C2541C-4E24-440E-A437-3ED84CEFD9B6}"/>
    <cellStyle name="Comma 4 3 5 5" xfId="1970" xr:uid="{00000000-0005-0000-0000-0000BF090000}"/>
    <cellStyle name="Comma 4 3 5 5 2" xfId="4199" xr:uid="{00000000-0005-0000-0000-0000C0090000}"/>
    <cellStyle name="Comma 4 3 5 5 2 2" xfId="8422" xr:uid="{00000000-0005-0000-0000-0000C1090000}"/>
    <cellStyle name="Comma 4 3 5 5 2 2 2" xfId="16864" xr:uid="{0C1DFB2F-A46D-4FF2-A788-466731C18F58}"/>
    <cellStyle name="Comma 4 3 5 5 2 3" xfId="12646" xr:uid="{8584F763-AB10-4B49-BE30-5D554081AD11}"/>
    <cellStyle name="Comma 4 3 5 5 3" xfId="6277" xr:uid="{00000000-0005-0000-0000-0000C2090000}"/>
    <cellStyle name="Comma 4 3 5 5 3 2" xfId="14719" xr:uid="{DEE14088-CD1C-42E2-BE4F-2575890C405D}"/>
    <cellStyle name="Comma 4 3 5 5 4" xfId="10501" xr:uid="{0A9BEFF3-BC0D-471A-AC0E-CF8630E453EF}"/>
    <cellStyle name="Comma 4 3 5 6" xfId="2405" xr:uid="{00000000-0005-0000-0000-0000C3090000}"/>
    <cellStyle name="Comma 4 3 5 6 2" xfId="6690" xr:uid="{00000000-0005-0000-0000-0000C4090000}"/>
    <cellStyle name="Comma 4 3 5 6 2 2" xfId="15132" xr:uid="{B6899225-5E97-4166-BB85-69B2DF325568}"/>
    <cellStyle name="Comma 4 3 5 6 3" xfId="10914" xr:uid="{523E6F35-493E-4713-8C48-311BD7C26A97}"/>
    <cellStyle name="Comma 4 3 5 7" xfId="2701" xr:uid="{00000000-0005-0000-0000-0000C5090000}"/>
    <cellStyle name="Comma 4 3 5 8" xfId="2783" xr:uid="{00000000-0005-0000-0000-0000C6090000}"/>
    <cellStyle name="Comma 4 3 5 8 2" xfId="7007" xr:uid="{00000000-0005-0000-0000-0000C7090000}"/>
    <cellStyle name="Comma 4 3 5 8 2 2" xfId="15449" xr:uid="{FA8C4445-5687-4C44-857E-34D966D19CD5}"/>
    <cellStyle name="Comma 4 3 5 8 3" xfId="11231" xr:uid="{6691318D-E1F0-4227-8575-C2F66ED515B8}"/>
    <cellStyle name="Comma 4 3 5 9" xfId="4624" xr:uid="{00000000-0005-0000-0000-0000C8090000}"/>
    <cellStyle name="Comma 4 3 5 9 2" xfId="13066" xr:uid="{920B125E-DD22-4816-B554-20326C951091}"/>
    <cellStyle name="Comma 4 4" xfId="153" xr:uid="{00000000-0005-0000-0000-0000C9090000}"/>
    <cellStyle name="Comma 4 4 10" xfId="2784" xr:uid="{00000000-0005-0000-0000-0000CA090000}"/>
    <cellStyle name="Comma 4 4 10 2" xfId="7008" xr:uid="{00000000-0005-0000-0000-0000CB090000}"/>
    <cellStyle name="Comma 4 4 10 2 2" xfId="15450" xr:uid="{6FC764AC-A702-4B54-8EF0-52C31928A681}"/>
    <cellStyle name="Comma 4 4 10 3" xfId="11232" xr:uid="{DA280E83-ECE3-4AFB-9E68-1C5DFCA8783A}"/>
    <cellStyle name="Comma 4 4 11" xfId="4625" xr:uid="{00000000-0005-0000-0000-0000CC090000}"/>
    <cellStyle name="Comma 4 4 11 2" xfId="13067" xr:uid="{62144B38-0DBC-45BE-BD33-22C03D2F3E9E}"/>
    <cellStyle name="Comma 4 4 12" xfId="8849" xr:uid="{6A3AF8D8-F40F-4F73-A283-19283E376C74}"/>
    <cellStyle name="Comma 4 4 2" xfId="154" xr:uid="{00000000-0005-0000-0000-0000CD090000}"/>
    <cellStyle name="Comma 4 4 2 10" xfId="4626" xr:uid="{00000000-0005-0000-0000-0000CE090000}"/>
    <cellStyle name="Comma 4 4 2 10 2" xfId="13068" xr:uid="{491977A6-33A2-4D54-B955-376DA39164E9}"/>
    <cellStyle name="Comma 4 4 2 11" xfId="8850" xr:uid="{C20DA8F1-848F-41C8-8061-9A89F0F96260}"/>
    <cellStyle name="Comma 4 4 2 2" xfId="155" xr:uid="{00000000-0005-0000-0000-0000CF090000}"/>
    <cellStyle name="Comma 4 4 2 2 10" xfId="8851" xr:uid="{023BBA01-658C-4239-AA89-9F8C60D36083}"/>
    <cellStyle name="Comma 4 4 2 2 2" xfId="692" xr:uid="{00000000-0005-0000-0000-0000D0090000}"/>
    <cellStyle name="Comma 4 4 2 2 2 2" xfId="2963" xr:uid="{00000000-0005-0000-0000-0000D1090000}"/>
    <cellStyle name="Comma 4 4 2 2 2 2 2" xfId="7186" xr:uid="{00000000-0005-0000-0000-0000D2090000}"/>
    <cellStyle name="Comma 4 4 2 2 2 2 2 2" xfId="15628" xr:uid="{B686F345-587D-4BA5-BFA8-4586D7147E47}"/>
    <cellStyle name="Comma 4 4 2 2 2 2 3" xfId="11410" xr:uid="{C73074B4-2C56-4B98-8F20-1684D3E483F7}"/>
    <cellStyle name="Comma 4 4 2 2 2 3" xfId="5041" xr:uid="{00000000-0005-0000-0000-0000D3090000}"/>
    <cellStyle name="Comma 4 4 2 2 2 3 2" xfId="13483" xr:uid="{DC6E8A39-7D8E-4F73-B2B3-A253E7C720D6}"/>
    <cellStyle name="Comma 4 4 2 2 2 4" xfId="9265" xr:uid="{C5B0DC20-B615-48C9-972C-B0B366D6CFC8}"/>
    <cellStyle name="Comma 4 4 2 2 3" xfId="1145" xr:uid="{00000000-0005-0000-0000-0000D4090000}"/>
    <cellStyle name="Comma 4 4 2 2 3 2" xfId="3376" xr:uid="{00000000-0005-0000-0000-0000D5090000}"/>
    <cellStyle name="Comma 4 4 2 2 3 2 2" xfId="7599" xr:uid="{00000000-0005-0000-0000-0000D6090000}"/>
    <cellStyle name="Comma 4 4 2 2 3 2 2 2" xfId="16041" xr:uid="{38F89CB5-5B27-4D03-8DBF-355B13EB707D}"/>
    <cellStyle name="Comma 4 4 2 2 3 2 3" xfId="11823" xr:uid="{A72D8320-B2D3-4E19-8FF9-3B422E84985A}"/>
    <cellStyle name="Comma 4 4 2 2 3 3" xfId="5454" xr:uid="{00000000-0005-0000-0000-0000D7090000}"/>
    <cellStyle name="Comma 4 4 2 2 3 3 2" xfId="13896" xr:uid="{BF69DAF8-5A91-47E2-B328-E40CBAD203C3}"/>
    <cellStyle name="Comma 4 4 2 2 3 4" xfId="9678" xr:uid="{814D97B4-9085-4DF8-9C89-8558D1EED8E1}"/>
    <cellStyle name="Comma 4 4 2 2 4" xfId="1559" xr:uid="{00000000-0005-0000-0000-0000D8090000}"/>
    <cellStyle name="Comma 4 4 2 2 4 2" xfId="3789" xr:uid="{00000000-0005-0000-0000-0000D9090000}"/>
    <cellStyle name="Comma 4 4 2 2 4 2 2" xfId="8012" xr:uid="{00000000-0005-0000-0000-0000DA090000}"/>
    <cellStyle name="Comma 4 4 2 2 4 2 2 2" xfId="16454" xr:uid="{7D6162D0-54E1-4E27-A8DD-C327E82782F8}"/>
    <cellStyle name="Comma 4 4 2 2 4 2 3" xfId="12236" xr:uid="{7C397308-907D-4F49-A594-8E1A73B729D8}"/>
    <cellStyle name="Comma 4 4 2 2 4 3" xfId="5867" xr:uid="{00000000-0005-0000-0000-0000DB090000}"/>
    <cellStyle name="Comma 4 4 2 2 4 3 2" xfId="14309" xr:uid="{4FAEC512-F5AF-40A6-88AE-8B5F52AFE2B7}"/>
    <cellStyle name="Comma 4 4 2 2 4 4" xfId="10091" xr:uid="{3C0B2E0C-EB93-44DA-9352-C9F0AA1C34D9}"/>
    <cellStyle name="Comma 4 4 2 2 5" xfId="1973" xr:uid="{00000000-0005-0000-0000-0000DC090000}"/>
    <cellStyle name="Comma 4 4 2 2 5 2" xfId="4202" xr:uid="{00000000-0005-0000-0000-0000DD090000}"/>
    <cellStyle name="Comma 4 4 2 2 5 2 2" xfId="8425" xr:uid="{00000000-0005-0000-0000-0000DE090000}"/>
    <cellStyle name="Comma 4 4 2 2 5 2 2 2" xfId="16867" xr:uid="{B824C5BF-042B-46C9-9295-0AFCBC9459FB}"/>
    <cellStyle name="Comma 4 4 2 2 5 2 3" xfId="12649" xr:uid="{AE214152-C31D-4B41-9280-AF14353FDF60}"/>
    <cellStyle name="Comma 4 4 2 2 5 3" xfId="6280" xr:uid="{00000000-0005-0000-0000-0000DF090000}"/>
    <cellStyle name="Comma 4 4 2 2 5 3 2" xfId="14722" xr:uid="{AE805C35-743A-4829-BE1A-DE541B624591}"/>
    <cellStyle name="Comma 4 4 2 2 5 4" xfId="10504" xr:uid="{E1C88942-8845-4B93-9EDE-787408772C4D}"/>
    <cellStyle name="Comma 4 4 2 2 6" xfId="2408" xr:uid="{00000000-0005-0000-0000-0000E0090000}"/>
    <cellStyle name="Comma 4 4 2 2 6 2" xfId="6693" xr:uid="{00000000-0005-0000-0000-0000E1090000}"/>
    <cellStyle name="Comma 4 4 2 2 6 2 2" xfId="15135" xr:uid="{9D5356E9-401A-401D-9F5A-BEF941BF7089}"/>
    <cellStyle name="Comma 4 4 2 2 6 3" xfId="10917" xr:uid="{8A574C0A-8C38-4BBA-8227-67B4E0EFF53C}"/>
    <cellStyle name="Comma 4 4 2 2 7" xfId="2704" xr:uid="{00000000-0005-0000-0000-0000E2090000}"/>
    <cellStyle name="Comma 4 4 2 2 8" xfId="2786" xr:uid="{00000000-0005-0000-0000-0000E3090000}"/>
    <cellStyle name="Comma 4 4 2 2 8 2" xfId="7010" xr:uid="{00000000-0005-0000-0000-0000E4090000}"/>
    <cellStyle name="Comma 4 4 2 2 8 2 2" xfId="15452" xr:uid="{C968BC48-4A49-4D36-A9DE-B4DA1FD12D2B}"/>
    <cellStyle name="Comma 4 4 2 2 8 3" xfId="11234" xr:uid="{80D9D7B1-116F-4EFA-B790-C97398F5AD56}"/>
    <cellStyle name="Comma 4 4 2 2 9" xfId="4627" xr:uid="{00000000-0005-0000-0000-0000E5090000}"/>
    <cellStyle name="Comma 4 4 2 2 9 2" xfId="13069" xr:uid="{115A532C-3C83-44FC-BA0B-6C49173876EA}"/>
    <cellStyle name="Comma 4 4 2 3" xfId="691" xr:uid="{00000000-0005-0000-0000-0000E6090000}"/>
    <cellStyle name="Comma 4 4 2 3 2" xfId="2962" xr:uid="{00000000-0005-0000-0000-0000E7090000}"/>
    <cellStyle name="Comma 4 4 2 3 2 2" xfId="7185" xr:uid="{00000000-0005-0000-0000-0000E8090000}"/>
    <cellStyle name="Comma 4 4 2 3 2 2 2" xfId="15627" xr:uid="{6E2960A1-770D-4D51-8AD2-AFC7C042F579}"/>
    <cellStyle name="Comma 4 4 2 3 2 3" xfId="11409" xr:uid="{A32F7946-F873-452E-B828-B798F4767B4A}"/>
    <cellStyle name="Comma 4 4 2 3 3" xfId="5040" xr:uid="{00000000-0005-0000-0000-0000E9090000}"/>
    <cellStyle name="Comma 4 4 2 3 3 2" xfId="13482" xr:uid="{A9642B1E-F4C2-4092-81E5-82C30FD96846}"/>
    <cellStyle name="Comma 4 4 2 3 4" xfId="9264" xr:uid="{5BDB7EEA-63B8-436B-8539-9522542FF3AE}"/>
    <cellStyle name="Comma 4 4 2 4" xfId="1144" xr:uid="{00000000-0005-0000-0000-0000EA090000}"/>
    <cellStyle name="Comma 4 4 2 4 2" xfId="3375" xr:uid="{00000000-0005-0000-0000-0000EB090000}"/>
    <cellStyle name="Comma 4 4 2 4 2 2" xfId="7598" xr:uid="{00000000-0005-0000-0000-0000EC090000}"/>
    <cellStyle name="Comma 4 4 2 4 2 2 2" xfId="16040" xr:uid="{EA704840-A5FE-4E79-8131-FAC74D41997C}"/>
    <cellStyle name="Comma 4 4 2 4 2 3" xfId="11822" xr:uid="{C7038B21-6C43-4F4A-8F10-CDD627E7803B}"/>
    <cellStyle name="Comma 4 4 2 4 3" xfId="5453" xr:uid="{00000000-0005-0000-0000-0000ED090000}"/>
    <cellStyle name="Comma 4 4 2 4 3 2" xfId="13895" xr:uid="{CE868426-FE0F-4B88-B9EC-814B3EDA8DF9}"/>
    <cellStyle name="Comma 4 4 2 4 4" xfId="9677" xr:uid="{E518C48A-F640-4208-A6BD-86877A5FBBB2}"/>
    <cellStyle name="Comma 4 4 2 5" xfId="1558" xr:uid="{00000000-0005-0000-0000-0000EE090000}"/>
    <cellStyle name="Comma 4 4 2 5 2" xfId="3788" xr:uid="{00000000-0005-0000-0000-0000EF090000}"/>
    <cellStyle name="Comma 4 4 2 5 2 2" xfId="8011" xr:uid="{00000000-0005-0000-0000-0000F0090000}"/>
    <cellStyle name="Comma 4 4 2 5 2 2 2" xfId="16453" xr:uid="{E277CC6F-977A-4231-AE42-113DD064EFC3}"/>
    <cellStyle name="Comma 4 4 2 5 2 3" xfId="12235" xr:uid="{051EB8D7-2261-4167-BBDD-6F564502BEC7}"/>
    <cellStyle name="Comma 4 4 2 5 3" xfId="5866" xr:uid="{00000000-0005-0000-0000-0000F1090000}"/>
    <cellStyle name="Comma 4 4 2 5 3 2" xfId="14308" xr:uid="{383A0345-2D0D-48AA-BA0F-3FE52BC2255C}"/>
    <cellStyle name="Comma 4 4 2 5 4" xfId="10090" xr:uid="{C9FD70BC-63CA-4FC3-962E-096C3CB72269}"/>
    <cellStyle name="Comma 4 4 2 6" xfId="1972" xr:uid="{00000000-0005-0000-0000-0000F2090000}"/>
    <cellStyle name="Comma 4 4 2 6 2" xfId="4201" xr:uid="{00000000-0005-0000-0000-0000F3090000}"/>
    <cellStyle name="Comma 4 4 2 6 2 2" xfId="8424" xr:uid="{00000000-0005-0000-0000-0000F4090000}"/>
    <cellStyle name="Comma 4 4 2 6 2 2 2" xfId="16866" xr:uid="{25809E3F-4F2D-4A4D-9C84-1C98C5C0EE22}"/>
    <cellStyle name="Comma 4 4 2 6 2 3" xfId="12648" xr:uid="{5220FDA1-06A0-4DDA-91DB-2CEA2BA5E29F}"/>
    <cellStyle name="Comma 4 4 2 6 3" xfId="6279" xr:uid="{00000000-0005-0000-0000-0000F5090000}"/>
    <cellStyle name="Comma 4 4 2 6 3 2" xfId="14721" xr:uid="{86928E1F-7FF8-4069-9687-FB958E2C1B1C}"/>
    <cellStyle name="Comma 4 4 2 6 4" xfId="10503" xr:uid="{06E9AD7A-94FB-4772-93E4-9A080E3FAA2C}"/>
    <cellStyle name="Comma 4 4 2 7" xfId="2407" xr:uid="{00000000-0005-0000-0000-0000F6090000}"/>
    <cellStyle name="Comma 4 4 2 7 2" xfId="6692" xr:uid="{00000000-0005-0000-0000-0000F7090000}"/>
    <cellStyle name="Comma 4 4 2 7 2 2" xfId="15134" xr:uid="{89B53722-77E8-45E4-AADD-61B84A6D822F}"/>
    <cellStyle name="Comma 4 4 2 7 3" xfId="10916" xr:uid="{CD8EB80E-9A64-42FE-AE09-4EA34CC415E9}"/>
    <cellStyle name="Comma 4 4 2 8" xfId="2703" xr:uid="{00000000-0005-0000-0000-0000F8090000}"/>
    <cellStyle name="Comma 4 4 2 9" xfId="2785" xr:uid="{00000000-0005-0000-0000-0000F9090000}"/>
    <cellStyle name="Comma 4 4 2 9 2" xfId="7009" xr:uid="{00000000-0005-0000-0000-0000FA090000}"/>
    <cellStyle name="Comma 4 4 2 9 2 2" xfId="15451" xr:uid="{1D50E7D1-54CE-46E6-B612-69324D84179F}"/>
    <cellStyle name="Comma 4 4 2 9 3" xfId="11233" xr:uid="{E0540879-95B7-4763-8EED-0C242DF1435A}"/>
    <cellStyle name="Comma 4 4 3" xfId="156" xr:uid="{00000000-0005-0000-0000-0000FB090000}"/>
    <cellStyle name="Comma 4 4 3 10" xfId="8852" xr:uid="{525C0DA6-0740-4EB2-A653-B3F87F7CEEC8}"/>
    <cellStyle name="Comma 4 4 3 2" xfId="693" xr:uid="{00000000-0005-0000-0000-0000FC090000}"/>
    <cellStyle name="Comma 4 4 3 2 2" xfId="2964" xr:uid="{00000000-0005-0000-0000-0000FD090000}"/>
    <cellStyle name="Comma 4 4 3 2 2 2" xfId="7187" xr:uid="{00000000-0005-0000-0000-0000FE090000}"/>
    <cellStyle name="Comma 4 4 3 2 2 2 2" xfId="15629" xr:uid="{1450B763-CBA5-4A56-981A-D8290DA8DCAA}"/>
    <cellStyle name="Comma 4 4 3 2 2 3" xfId="11411" xr:uid="{5DE8F40B-1611-44D3-9B40-E864D823EC46}"/>
    <cellStyle name="Comma 4 4 3 2 3" xfId="5042" xr:uid="{00000000-0005-0000-0000-0000FF090000}"/>
    <cellStyle name="Comma 4 4 3 2 3 2" xfId="13484" xr:uid="{D80B98D7-3AB2-4D99-9048-E9D0A297F455}"/>
    <cellStyle name="Comma 4 4 3 2 4" xfId="9266" xr:uid="{1BB5AF5E-9BB2-4511-8EAF-AFF815DD2B13}"/>
    <cellStyle name="Comma 4 4 3 3" xfId="1146" xr:uid="{00000000-0005-0000-0000-0000000A0000}"/>
    <cellStyle name="Comma 4 4 3 3 2" xfId="3377" xr:uid="{00000000-0005-0000-0000-0000010A0000}"/>
    <cellStyle name="Comma 4 4 3 3 2 2" xfId="7600" xr:uid="{00000000-0005-0000-0000-0000020A0000}"/>
    <cellStyle name="Comma 4 4 3 3 2 2 2" xfId="16042" xr:uid="{DFF27C90-0C75-4B9D-BA02-418384231079}"/>
    <cellStyle name="Comma 4 4 3 3 2 3" xfId="11824" xr:uid="{362F6D20-5794-4396-8B04-B66152730CF8}"/>
    <cellStyle name="Comma 4 4 3 3 3" xfId="5455" xr:uid="{00000000-0005-0000-0000-0000030A0000}"/>
    <cellStyle name="Comma 4 4 3 3 3 2" xfId="13897" xr:uid="{1912461E-0F59-4AF1-90BB-0F615349F732}"/>
    <cellStyle name="Comma 4 4 3 3 4" xfId="9679" xr:uid="{DAF49F57-AFA8-4678-8940-1CE43E326D90}"/>
    <cellStyle name="Comma 4 4 3 4" xfId="1560" xr:uid="{00000000-0005-0000-0000-0000040A0000}"/>
    <cellStyle name="Comma 4 4 3 4 2" xfId="3790" xr:uid="{00000000-0005-0000-0000-0000050A0000}"/>
    <cellStyle name="Comma 4 4 3 4 2 2" xfId="8013" xr:uid="{00000000-0005-0000-0000-0000060A0000}"/>
    <cellStyle name="Comma 4 4 3 4 2 2 2" xfId="16455" xr:uid="{42CE16FF-6795-4E09-A50B-1310E2927892}"/>
    <cellStyle name="Comma 4 4 3 4 2 3" xfId="12237" xr:uid="{F4AF13D0-85C2-4E3F-952A-402B15C81F20}"/>
    <cellStyle name="Comma 4 4 3 4 3" xfId="5868" xr:uid="{00000000-0005-0000-0000-0000070A0000}"/>
    <cellStyle name="Comma 4 4 3 4 3 2" xfId="14310" xr:uid="{664EF35C-27FD-488B-8D5C-3138DCAAB6C4}"/>
    <cellStyle name="Comma 4 4 3 4 4" xfId="10092" xr:uid="{01E1D20F-6F09-4F34-87BB-A2B88F4721BB}"/>
    <cellStyle name="Comma 4 4 3 5" xfId="1974" xr:uid="{00000000-0005-0000-0000-0000080A0000}"/>
    <cellStyle name="Comma 4 4 3 5 2" xfId="4203" xr:uid="{00000000-0005-0000-0000-0000090A0000}"/>
    <cellStyle name="Comma 4 4 3 5 2 2" xfId="8426" xr:uid="{00000000-0005-0000-0000-00000A0A0000}"/>
    <cellStyle name="Comma 4 4 3 5 2 2 2" xfId="16868" xr:uid="{907FE87D-94FD-4BF5-BB0B-33F2D53B5905}"/>
    <cellStyle name="Comma 4 4 3 5 2 3" xfId="12650" xr:uid="{F0027AC8-92FB-49E9-AB15-2D4BE1D584F5}"/>
    <cellStyle name="Comma 4 4 3 5 3" xfId="6281" xr:uid="{00000000-0005-0000-0000-00000B0A0000}"/>
    <cellStyle name="Comma 4 4 3 5 3 2" xfId="14723" xr:uid="{076890B5-0093-432E-9A42-64BC8F380E88}"/>
    <cellStyle name="Comma 4 4 3 5 4" xfId="10505" xr:uid="{7AF67AD2-02F8-476F-9256-BC922DFE9FBB}"/>
    <cellStyle name="Comma 4 4 3 6" xfId="2409" xr:uid="{00000000-0005-0000-0000-00000C0A0000}"/>
    <cellStyle name="Comma 4 4 3 6 2" xfId="6694" xr:uid="{00000000-0005-0000-0000-00000D0A0000}"/>
    <cellStyle name="Comma 4 4 3 6 2 2" xfId="15136" xr:uid="{C3A54C4B-A0A6-48EE-A4CA-15639A29D48D}"/>
    <cellStyle name="Comma 4 4 3 6 3" xfId="10918" xr:uid="{C181A8F7-DD37-44A8-817B-836A199BCC09}"/>
    <cellStyle name="Comma 4 4 3 7" xfId="2705" xr:uid="{00000000-0005-0000-0000-00000E0A0000}"/>
    <cellStyle name="Comma 4 4 3 8" xfId="2787" xr:uid="{00000000-0005-0000-0000-00000F0A0000}"/>
    <cellStyle name="Comma 4 4 3 8 2" xfId="7011" xr:uid="{00000000-0005-0000-0000-0000100A0000}"/>
    <cellStyle name="Comma 4 4 3 8 2 2" xfId="15453" xr:uid="{32B4AE6B-4E5B-484C-9813-7C21AACE9DEF}"/>
    <cellStyle name="Comma 4 4 3 8 3" xfId="11235" xr:uid="{E3B5C34C-008D-455E-BBB4-CC296F9148A2}"/>
    <cellStyle name="Comma 4 4 3 9" xfId="4628" xr:uid="{00000000-0005-0000-0000-0000110A0000}"/>
    <cellStyle name="Comma 4 4 3 9 2" xfId="13070" xr:uid="{336CA297-77F3-49E2-87C2-161D857E90F8}"/>
    <cellStyle name="Comma 4 4 4" xfId="690" xr:uid="{00000000-0005-0000-0000-0000120A0000}"/>
    <cellStyle name="Comma 4 4 4 2" xfId="2961" xr:uid="{00000000-0005-0000-0000-0000130A0000}"/>
    <cellStyle name="Comma 4 4 4 2 2" xfId="7184" xr:uid="{00000000-0005-0000-0000-0000140A0000}"/>
    <cellStyle name="Comma 4 4 4 2 2 2" xfId="15626" xr:uid="{72B03E4E-1EFD-4CC2-849B-5301989E699C}"/>
    <cellStyle name="Comma 4 4 4 2 3" xfId="11408" xr:uid="{90F86EAB-AB23-4DC3-A4B3-C705EBBF4B25}"/>
    <cellStyle name="Comma 4 4 4 3" xfId="5039" xr:uid="{00000000-0005-0000-0000-0000150A0000}"/>
    <cellStyle name="Comma 4 4 4 3 2" xfId="13481" xr:uid="{D163D84A-1041-484C-8715-AE0FA513B071}"/>
    <cellStyle name="Comma 4 4 4 4" xfId="9263" xr:uid="{424E1D30-5E92-4BF3-AAF7-B24B2F3E98CE}"/>
    <cellStyle name="Comma 4 4 5" xfId="1143" xr:uid="{00000000-0005-0000-0000-0000160A0000}"/>
    <cellStyle name="Comma 4 4 5 2" xfId="3374" xr:uid="{00000000-0005-0000-0000-0000170A0000}"/>
    <cellStyle name="Comma 4 4 5 2 2" xfId="7597" xr:uid="{00000000-0005-0000-0000-0000180A0000}"/>
    <cellStyle name="Comma 4 4 5 2 2 2" xfId="16039" xr:uid="{0621A04D-CE6C-4D8B-8480-F65DF8D3DD43}"/>
    <cellStyle name="Comma 4 4 5 2 3" xfId="11821" xr:uid="{DCEF6A7B-F82E-4FC6-AF11-18C4BBCCCD6C}"/>
    <cellStyle name="Comma 4 4 5 3" xfId="5452" xr:uid="{00000000-0005-0000-0000-0000190A0000}"/>
    <cellStyle name="Comma 4 4 5 3 2" xfId="13894" xr:uid="{C7073D13-A1BA-439F-8A5C-8BEFA2415C3A}"/>
    <cellStyle name="Comma 4 4 5 4" xfId="9676" xr:uid="{B8B7E8D6-8B50-4FBC-8656-07509344122F}"/>
    <cellStyle name="Comma 4 4 6" xfId="1557" xr:uid="{00000000-0005-0000-0000-00001A0A0000}"/>
    <cellStyle name="Comma 4 4 6 2" xfId="3787" xr:uid="{00000000-0005-0000-0000-00001B0A0000}"/>
    <cellStyle name="Comma 4 4 6 2 2" xfId="8010" xr:uid="{00000000-0005-0000-0000-00001C0A0000}"/>
    <cellStyle name="Comma 4 4 6 2 2 2" xfId="16452" xr:uid="{EACF6524-478E-45C9-B6AE-8CEFB393AA53}"/>
    <cellStyle name="Comma 4 4 6 2 3" xfId="12234" xr:uid="{2B87F959-EF85-4408-A4A3-F668C8E6C3A3}"/>
    <cellStyle name="Comma 4 4 6 3" xfId="5865" xr:uid="{00000000-0005-0000-0000-00001D0A0000}"/>
    <cellStyle name="Comma 4 4 6 3 2" xfId="14307" xr:uid="{AE5A10ED-79EC-4B5F-A2C6-9FD0A5B31BA9}"/>
    <cellStyle name="Comma 4 4 6 4" xfId="10089" xr:uid="{8A2068A2-FB8F-4B73-90B2-4FA2B69C34F4}"/>
    <cellStyle name="Comma 4 4 7" xfId="1971" xr:uid="{00000000-0005-0000-0000-00001E0A0000}"/>
    <cellStyle name="Comma 4 4 7 2" xfId="4200" xr:uid="{00000000-0005-0000-0000-00001F0A0000}"/>
    <cellStyle name="Comma 4 4 7 2 2" xfId="8423" xr:uid="{00000000-0005-0000-0000-0000200A0000}"/>
    <cellStyle name="Comma 4 4 7 2 2 2" xfId="16865" xr:uid="{E51ED902-13F8-4988-8344-28486E817822}"/>
    <cellStyle name="Comma 4 4 7 2 3" xfId="12647" xr:uid="{CEEC9E2F-0D19-4DFA-B419-301BD7422DCC}"/>
    <cellStyle name="Comma 4 4 7 3" xfId="6278" xr:uid="{00000000-0005-0000-0000-0000210A0000}"/>
    <cellStyle name="Comma 4 4 7 3 2" xfId="14720" xr:uid="{060E374C-876B-4C7A-8BC8-3A90792AA10B}"/>
    <cellStyle name="Comma 4 4 7 4" xfId="10502" xr:uid="{4E539CB4-EFD9-4626-9173-D5F72018C013}"/>
    <cellStyle name="Comma 4 4 8" xfId="2406" xr:uid="{00000000-0005-0000-0000-0000220A0000}"/>
    <cellStyle name="Comma 4 4 8 2" xfId="6691" xr:uid="{00000000-0005-0000-0000-0000230A0000}"/>
    <cellStyle name="Comma 4 4 8 2 2" xfId="15133" xr:uid="{333B910D-2022-45FE-983C-FAE5B3941EA5}"/>
    <cellStyle name="Comma 4 4 8 3" xfId="10915" xr:uid="{99FF6E1A-86CF-47CA-9C0B-5B2D23041EA6}"/>
    <cellStyle name="Comma 4 4 9" xfId="2702" xr:uid="{00000000-0005-0000-0000-0000240A0000}"/>
    <cellStyle name="Comma 4 5" xfId="157" xr:uid="{00000000-0005-0000-0000-0000250A0000}"/>
    <cellStyle name="Comma 4 5 10" xfId="4629" xr:uid="{00000000-0005-0000-0000-0000260A0000}"/>
    <cellStyle name="Comma 4 5 10 2" xfId="13071" xr:uid="{2803222C-EF20-49EB-AB9F-0C5FB084BAAD}"/>
    <cellStyle name="Comma 4 5 11" xfId="8853" xr:uid="{F3C56FC6-CA9B-4E8B-AA2C-D9D855E3C254}"/>
    <cellStyle name="Comma 4 5 2" xfId="158" xr:uid="{00000000-0005-0000-0000-0000270A0000}"/>
    <cellStyle name="Comma 4 5 2 10" xfId="8854" xr:uid="{EBB43D03-D171-4ACA-82B5-3FEEC1862C30}"/>
    <cellStyle name="Comma 4 5 2 2" xfId="695" xr:uid="{00000000-0005-0000-0000-0000280A0000}"/>
    <cellStyle name="Comma 4 5 2 2 2" xfId="2966" xr:uid="{00000000-0005-0000-0000-0000290A0000}"/>
    <cellStyle name="Comma 4 5 2 2 2 2" xfId="7189" xr:uid="{00000000-0005-0000-0000-00002A0A0000}"/>
    <cellStyle name="Comma 4 5 2 2 2 2 2" xfId="15631" xr:uid="{E0CBE87E-B964-44F2-9470-1BDFB64BCC40}"/>
    <cellStyle name="Comma 4 5 2 2 2 3" xfId="11413" xr:uid="{5AE13EDB-59B8-4EB8-8840-584F95969762}"/>
    <cellStyle name="Comma 4 5 2 2 3" xfId="5044" xr:uid="{00000000-0005-0000-0000-00002B0A0000}"/>
    <cellStyle name="Comma 4 5 2 2 3 2" xfId="13486" xr:uid="{987FE43D-DD51-4DC4-B312-6504D3D4069F}"/>
    <cellStyle name="Comma 4 5 2 2 4" xfId="9268" xr:uid="{96EE4249-98FB-4AD2-9BA9-725312BCC9E7}"/>
    <cellStyle name="Comma 4 5 2 3" xfId="1148" xr:uid="{00000000-0005-0000-0000-00002C0A0000}"/>
    <cellStyle name="Comma 4 5 2 3 2" xfId="3379" xr:uid="{00000000-0005-0000-0000-00002D0A0000}"/>
    <cellStyle name="Comma 4 5 2 3 2 2" xfId="7602" xr:uid="{00000000-0005-0000-0000-00002E0A0000}"/>
    <cellStyle name="Comma 4 5 2 3 2 2 2" xfId="16044" xr:uid="{9949696A-D4B0-4580-9C84-314DB7CFE499}"/>
    <cellStyle name="Comma 4 5 2 3 2 3" xfId="11826" xr:uid="{001933FD-AF7C-49B3-A0A6-B12EC5224767}"/>
    <cellStyle name="Comma 4 5 2 3 3" xfId="5457" xr:uid="{00000000-0005-0000-0000-00002F0A0000}"/>
    <cellStyle name="Comma 4 5 2 3 3 2" xfId="13899" xr:uid="{B4A879CD-D304-46F9-B5FC-51B242954FF8}"/>
    <cellStyle name="Comma 4 5 2 3 4" xfId="9681" xr:uid="{ED78025A-9331-400C-9BC5-F9B24C04C54E}"/>
    <cellStyle name="Comma 4 5 2 4" xfId="1562" xr:uid="{00000000-0005-0000-0000-0000300A0000}"/>
    <cellStyle name="Comma 4 5 2 4 2" xfId="3792" xr:uid="{00000000-0005-0000-0000-0000310A0000}"/>
    <cellStyle name="Comma 4 5 2 4 2 2" xfId="8015" xr:uid="{00000000-0005-0000-0000-0000320A0000}"/>
    <cellStyle name="Comma 4 5 2 4 2 2 2" xfId="16457" xr:uid="{CD32B9CC-2B2B-47A9-8518-BCEAF6CEE327}"/>
    <cellStyle name="Comma 4 5 2 4 2 3" xfId="12239" xr:uid="{1DFD1455-D749-46DA-8A1A-EE9163339DE3}"/>
    <cellStyle name="Comma 4 5 2 4 3" xfId="5870" xr:uid="{00000000-0005-0000-0000-0000330A0000}"/>
    <cellStyle name="Comma 4 5 2 4 3 2" xfId="14312" xr:uid="{DDB6F520-588D-4AE2-B858-632865744927}"/>
    <cellStyle name="Comma 4 5 2 4 4" xfId="10094" xr:uid="{35081D42-6DDC-441F-BFC3-343AEA5B43CA}"/>
    <cellStyle name="Comma 4 5 2 5" xfId="1976" xr:uid="{00000000-0005-0000-0000-0000340A0000}"/>
    <cellStyle name="Comma 4 5 2 5 2" xfId="4205" xr:uid="{00000000-0005-0000-0000-0000350A0000}"/>
    <cellStyle name="Comma 4 5 2 5 2 2" xfId="8428" xr:uid="{00000000-0005-0000-0000-0000360A0000}"/>
    <cellStyle name="Comma 4 5 2 5 2 2 2" xfId="16870" xr:uid="{F7275530-37F4-433C-AF9E-E49CC41E5716}"/>
    <cellStyle name="Comma 4 5 2 5 2 3" xfId="12652" xr:uid="{3B946DCF-DBAF-4000-825D-F310941BE714}"/>
    <cellStyle name="Comma 4 5 2 5 3" xfId="6283" xr:uid="{00000000-0005-0000-0000-0000370A0000}"/>
    <cellStyle name="Comma 4 5 2 5 3 2" xfId="14725" xr:uid="{9D8F8AE6-1D32-447F-A966-5D843331179B}"/>
    <cellStyle name="Comma 4 5 2 5 4" xfId="10507" xr:uid="{77B2269D-2CCC-4FC6-8970-238BF6B5759A}"/>
    <cellStyle name="Comma 4 5 2 6" xfId="2411" xr:uid="{00000000-0005-0000-0000-0000380A0000}"/>
    <cellStyle name="Comma 4 5 2 6 2" xfId="6696" xr:uid="{00000000-0005-0000-0000-0000390A0000}"/>
    <cellStyle name="Comma 4 5 2 6 2 2" xfId="15138" xr:uid="{32985646-15DC-4283-998D-C2AD4FC6AD79}"/>
    <cellStyle name="Comma 4 5 2 6 3" xfId="10920" xr:uid="{2906F61F-C1D0-4CD7-9E2D-C20380876C7C}"/>
    <cellStyle name="Comma 4 5 2 7" xfId="2707" xr:uid="{00000000-0005-0000-0000-00003A0A0000}"/>
    <cellStyle name="Comma 4 5 2 8" xfId="2789" xr:uid="{00000000-0005-0000-0000-00003B0A0000}"/>
    <cellStyle name="Comma 4 5 2 8 2" xfId="7013" xr:uid="{00000000-0005-0000-0000-00003C0A0000}"/>
    <cellStyle name="Comma 4 5 2 8 2 2" xfId="15455" xr:uid="{E8FF98D6-F45D-4B0C-B14F-D489501AC9D1}"/>
    <cellStyle name="Comma 4 5 2 8 3" xfId="11237" xr:uid="{DCABDD52-B300-415D-8427-D93A2E47846B}"/>
    <cellStyle name="Comma 4 5 2 9" xfId="4630" xr:uid="{00000000-0005-0000-0000-00003D0A0000}"/>
    <cellStyle name="Comma 4 5 2 9 2" xfId="13072" xr:uid="{EF909A78-BC74-45A6-ADD9-1BA8F121D534}"/>
    <cellStyle name="Comma 4 5 3" xfId="694" xr:uid="{00000000-0005-0000-0000-00003E0A0000}"/>
    <cellStyle name="Comma 4 5 3 2" xfId="2965" xr:uid="{00000000-0005-0000-0000-00003F0A0000}"/>
    <cellStyle name="Comma 4 5 3 2 2" xfId="7188" xr:uid="{00000000-0005-0000-0000-0000400A0000}"/>
    <cellStyle name="Comma 4 5 3 2 2 2" xfId="15630" xr:uid="{FDED3CC0-D1B2-485B-9DE4-58AF95C2CBD5}"/>
    <cellStyle name="Comma 4 5 3 2 3" xfId="11412" xr:uid="{52681A1D-60AC-45EE-90C9-2EA604EAD2F8}"/>
    <cellStyle name="Comma 4 5 3 3" xfId="5043" xr:uid="{00000000-0005-0000-0000-0000410A0000}"/>
    <cellStyle name="Comma 4 5 3 3 2" xfId="13485" xr:uid="{B3878888-9ABE-4D39-B364-71EBE274F84F}"/>
    <cellStyle name="Comma 4 5 3 4" xfId="9267" xr:uid="{E3F9B828-FB9E-4029-9175-F5F5A8F16DC7}"/>
    <cellStyle name="Comma 4 5 4" xfId="1147" xr:uid="{00000000-0005-0000-0000-0000420A0000}"/>
    <cellStyle name="Comma 4 5 4 2" xfId="3378" xr:uid="{00000000-0005-0000-0000-0000430A0000}"/>
    <cellStyle name="Comma 4 5 4 2 2" xfId="7601" xr:uid="{00000000-0005-0000-0000-0000440A0000}"/>
    <cellStyle name="Comma 4 5 4 2 2 2" xfId="16043" xr:uid="{E337CC17-B44F-4F2B-B298-1364BF57A521}"/>
    <cellStyle name="Comma 4 5 4 2 3" xfId="11825" xr:uid="{76108984-724F-498B-98A4-AC9B9520CB44}"/>
    <cellStyle name="Comma 4 5 4 3" xfId="5456" xr:uid="{00000000-0005-0000-0000-0000450A0000}"/>
    <cellStyle name="Comma 4 5 4 3 2" xfId="13898" xr:uid="{BEA0C4ED-4596-4A64-A35B-B5F2860F30F3}"/>
    <cellStyle name="Comma 4 5 4 4" xfId="9680" xr:uid="{25BBFE06-1F5F-433C-B2E8-8C39E8332AD2}"/>
    <cellStyle name="Comma 4 5 5" xfId="1561" xr:uid="{00000000-0005-0000-0000-0000460A0000}"/>
    <cellStyle name="Comma 4 5 5 2" xfId="3791" xr:uid="{00000000-0005-0000-0000-0000470A0000}"/>
    <cellStyle name="Comma 4 5 5 2 2" xfId="8014" xr:uid="{00000000-0005-0000-0000-0000480A0000}"/>
    <cellStyle name="Comma 4 5 5 2 2 2" xfId="16456" xr:uid="{CC9F6910-5CE7-4E8C-A1EB-B5F44D83F453}"/>
    <cellStyle name="Comma 4 5 5 2 3" xfId="12238" xr:uid="{EC4BC229-DE54-4174-96AC-1DE37557022E}"/>
    <cellStyle name="Comma 4 5 5 3" xfId="5869" xr:uid="{00000000-0005-0000-0000-0000490A0000}"/>
    <cellStyle name="Comma 4 5 5 3 2" xfId="14311" xr:uid="{7545A20A-A6A5-4794-85D2-8FADD444A033}"/>
    <cellStyle name="Comma 4 5 5 4" xfId="10093" xr:uid="{97C01533-C4E0-4765-8832-337269C7F8B9}"/>
    <cellStyle name="Comma 4 5 6" xfId="1975" xr:uid="{00000000-0005-0000-0000-00004A0A0000}"/>
    <cellStyle name="Comma 4 5 6 2" xfId="4204" xr:uid="{00000000-0005-0000-0000-00004B0A0000}"/>
    <cellStyle name="Comma 4 5 6 2 2" xfId="8427" xr:uid="{00000000-0005-0000-0000-00004C0A0000}"/>
    <cellStyle name="Comma 4 5 6 2 2 2" xfId="16869" xr:uid="{024F82A1-D24C-4F00-8192-D4564A5EBD6D}"/>
    <cellStyle name="Comma 4 5 6 2 3" xfId="12651" xr:uid="{47ED13F6-2146-4DD7-856F-C6DF34893881}"/>
    <cellStyle name="Comma 4 5 6 3" xfId="6282" xr:uid="{00000000-0005-0000-0000-00004D0A0000}"/>
    <cellStyle name="Comma 4 5 6 3 2" xfId="14724" xr:uid="{03598DBF-72C2-4D28-B4FD-95C5C98154C3}"/>
    <cellStyle name="Comma 4 5 6 4" xfId="10506" xr:uid="{23E52F43-EE75-41FA-8DAC-44552D6302C5}"/>
    <cellStyle name="Comma 4 5 7" xfId="2410" xr:uid="{00000000-0005-0000-0000-00004E0A0000}"/>
    <cellStyle name="Comma 4 5 7 2" xfId="6695" xr:uid="{00000000-0005-0000-0000-00004F0A0000}"/>
    <cellStyle name="Comma 4 5 7 2 2" xfId="15137" xr:uid="{4E798587-299A-4D0D-943E-1105ABE12CE5}"/>
    <cellStyle name="Comma 4 5 7 3" xfId="10919" xr:uid="{40A69924-77E1-4629-87AB-F17BEADAC399}"/>
    <cellStyle name="Comma 4 5 8" xfId="2706" xr:uid="{00000000-0005-0000-0000-0000500A0000}"/>
    <cellStyle name="Comma 4 5 9" xfId="2788" xr:uid="{00000000-0005-0000-0000-0000510A0000}"/>
    <cellStyle name="Comma 4 5 9 2" xfId="7012" xr:uid="{00000000-0005-0000-0000-0000520A0000}"/>
    <cellStyle name="Comma 4 5 9 2 2" xfId="15454" xr:uid="{B3E2F920-3627-4FDA-895E-940ACF75F0AD}"/>
    <cellStyle name="Comma 4 5 9 3" xfId="11236" xr:uid="{3CC4EC56-6C10-43AD-B17D-0E35BB90040C}"/>
    <cellStyle name="Comma 4 6" xfId="159" xr:uid="{00000000-0005-0000-0000-0000530A0000}"/>
    <cellStyle name="Comma 4 6 10" xfId="8855" xr:uid="{ADC86B68-BD19-4DA7-99F7-58F3E555DC01}"/>
    <cellStyle name="Comma 4 6 2" xfId="696" xr:uid="{00000000-0005-0000-0000-0000540A0000}"/>
    <cellStyle name="Comma 4 6 2 2" xfId="2967" xr:uid="{00000000-0005-0000-0000-0000550A0000}"/>
    <cellStyle name="Comma 4 6 2 2 2" xfId="7190" xr:uid="{00000000-0005-0000-0000-0000560A0000}"/>
    <cellStyle name="Comma 4 6 2 2 2 2" xfId="15632" xr:uid="{4132A9A6-ED08-4709-B226-00F4E881FF34}"/>
    <cellStyle name="Comma 4 6 2 2 3" xfId="11414" xr:uid="{5E288B3E-0DFF-4CF6-A70B-EF9E63C485F5}"/>
    <cellStyle name="Comma 4 6 2 3" xfId="5045" xr:uid="{00000000-0005-0000-0000-0000570A0000}"/>
    <cellStyle name="Comma 4 6 2 3 2" xfId="13487" xr:uid="{CB87CA06-D896-4009-9ECD-5947D628FE79}"/>
    <cellStyle name="Comma 4 6 2 4" xfId="9269" xr:uid="{38FCF69A-B389-4A8B-B80E-13CC0CF166F4}"/>
    <cellStyle name="Comma 4 6 3" xfId="1149" xr:uid="{00000000-0005-0000-0000-0000580A0000}"/>
    <cellStyle name="Comma 4 6 3 2" xfId="3380" xr:uid="{00000000-0005-0000-0000-0000590A0000}"/>
    <cellStyle name="Comma 4 6 3 2 2" xfId="7603" xr:uid="{00000000-0005-0000-0000-00005A0A0000}"/>
    <cellStyle name="Comma 4 6 3 2 2 2" xfId="16045" xr:uid="{F3153851-4356-43C1-8BBC-8751D2FBC2A2}"/>
    <cellStyle name="Comma 4 6 3 2 3" xfId="11827" xr:uid="{5FD86407-7B98-41B0-A6C9-D99C49EF16E6}"/>
    <cellStyle name="Comma 4 6 3 3" xfId="5458" xr:uid="{00000000-0005-0000-0000-00005B0A0000}"/>
    <cellStyle name="Comma 4 6 3 3 2" xfId="13900" xr:uid="{61CAB887-7AE7-4D7E-ACE9-D3765F0780A5}"/>
    <cellStyle name="Comma 4 6 3 4" xfId="9682" xr:uid="{D6399007-5215-4252-A941-32484FDF812D}"/>
    <cellStyle name="Comma 4 6 4" xfId="1563" xr:uid="{00000000-0005-0000-0000-00005C0A0000}"/>
    <cellStyle name="Comma 4 6 4 2" xfId="3793" xr:uid="{00000000-0005-0000-0000-00005D0A0000}"/>
    <cellStyle name="Comma 4 6 4 2 2" xfId="8016" xr:uid="{00000000-0005-0000-0000-00005E0A0000}"/>
    <cellStyle name="Comma 4 6 4 2 2 2" xfId="16458" xr:uid="{A3E6C254-3BE4-4FE1-83F4-E658113C3E9E}"/>
    <cellStyle name="Comma 4 6 4 2 3" xfId="12240" xr:uid="{8542B40D-6BA6-4320-87C1-2449603648DF}"/>
    <cellStyle name="Comma 4 6 4 3" xfId="5871" xr:uid="{00000000-0005-0000-0000-00005F0A0000}"/>
    <cellStyle name="Comma 4 6 4 3 2" xfId="14313" xr:uid="{237A4E98-E967-416B-B520-F37EA766E6FA}"/>
    <cellStyle name="Comma 4 6 4 4" xfId="10095" xr:uid="{6F25B176-158D-4CF1-A7ED-06FB40BEFD20}"/>
    <cellStyle name="Comma 4 6 5" xfId="1977" xr:uid="{00000000-0005-0000-0000-0000600A0000}"/>
    <cellStyle name="Comma 4 6 5 2" xfId="4206" xr:uid="{00000000-0005-0000-0000-0000610A0000}"/>
    <cellStyle name="Comma 4 6 5 2 2" xfId="8429" xr:uid="{00000000-0005-0000-0000-0000620A0000}"/>
    <cellStyle name="Comma 4 6 5 2 2 2" xfId="16871" xr:uid="{F0156A32-89F8-4308-84FE-FD74B5E4D196}"/>
    <cellStyle name="Comma 4 6 5 2 3" xfId="12653" xr:uid="{0D2ED9E7-FFFC-4FE6-BD9E-3B46167B665A}"/>
    <cellStyle name="Comma 4 6 5 3" xfId="6284" xr:uid="{00000000-0005-0000-0000-0000630A0000}"/>
    <cellStyle name="Comma 4 6 5 3 2" xfId="14726" xr:uid="{27721342-F9C1-4A63-8108-53A693EB963F}"/>
    <cellStyle name="Comma 4 6 5 4" xfId="10508" xr:uid="{87EC1232-6BD8-46BE-AEC9-6DD1F7C35E11}"/>
    <cellStyle name="Comma 4 6 6" xfId="2412" xr:uid="{00000000-0005-0000-0000-0000640A0000}"/>
    <cellStyle name="Comma 4 6 6 2" xfId="6697" xr:uid="{00000000-0005-0000-0000-0000650A0000}"/>
    <cellStyle name="Comma 4 6 6 2 2" xfId="15139" xr:uid="{7E26FFE8-E1C7-4140-A678-0310CB433A64}"/>
    <cellStyle name="Comma 4 6 6 3" xfId="10921" xr:uid="{D2F9EE58-7B8F-4283-8C83-AE769EAC9246}"/>
    <cellStyle name="Comma 4 6 7" xfId="2708" xr:uid="{00000000-0005-0000-0000-0000660A0000}"/>
    <cellStyle name="Comma 4 6 8" xfId="2790" xr:uid="{00000000-0005-0000-0000-0000670A0000}"/>
    <cellStyle name="Comma 4 6 8 2" xfId="7014" xr:uid="{00000000-0005-0000-0000-0000680A0000}"/>
    <cellStyle name="Comma 4 6 8 2 2" xfId="15456" xr:uid="{C9D8642E-5A7E-475F-8D03-3D49EE2193AC}"/>
    <cellStyle name="Comma 4 6 8 3" xfId="11238" xr:uid="{4A4E954A-3CF7-42A0-965E-4037FB56F5AC}"/>
    <cellStyle name="Comma 4 6 9" xfId="4631" xr:uid="{00000000-0005-0000-0000-0000690A0000}"/>
    <cellStyle name="Comma 4 6 9 2" xfId="13073" xr:uid="{4F425874-6CD4-4482-A0C4-F75219472358}"/>
    <cellStyle name="Comma 4 7" xfId="160" xr:uid="{00000000-0005-0000-0000-00006A0A0000}"/>
    <cellStyle name="Comma 4 7 10" xfId="8856" xr:uid="{0BAD5271-67D1-4BBA-A4CC-A04E7ECC0596}"/>
    <cellStyle name="Comma 4 7 2" xfId="697" xr:uid="{00000000-0005-0000-0000-00006B0A0000}"/>
    <cellStyle name="Comma 4 7 2 2" xfId="2968" xr:uid="{00000000-0005-0000-0000-00006C0A0000}"/>
    <cellStyle name="Comma 4 7 2 2 2" xfId="7191" xr:uid="{00000000-0005-0000-0000-00006D0A0000}"/>
    <cellStyle name="Comma 4 7 2 2 2 2" xfId="15633" xr:uid="{293510E8-BBC2-40D2-82F1-E795292AF945}"/>
    <cellStyle name="Comma 4 7 2 2 3" xfId="11415" xr:uid="{B7725CA8-B975-4EB5-93D6-C47250B12BDA}"/>
    <cellStyle name="Comma 4 7 2 3" xfId="5046" xr:uid="{00000000-0005-0000-0000-00006E0A0000}"/>
    <cellStyle name="Comma 4 7 2 3 2" xfId="13488" xr:uid="{F9DC3E86-D1B6-4420-82EC-EB6D91957C62}"/>
    <cellStyle name="Comma 4 7 2 4" xfId="9270" xr:uid="{CD11FAE3-79C7-4DA6-89CD-D5F9BF27E63A}"/>
    <cellStyle name="Comma 4 7 3" xfId="1150" xr:uid="{00000000-0005-0000-0000-00006F0A0000}"/>
    <cellStyle name="Comma 4 7 3 2" xfId="3381" xr:uid="{00000000-0005-0000-0000-0000700A0000}"/>
    <cellStyle name="Comma 4 7 3 2 2" xfId="7604" xr:uid="{00000000-0005-0000-0000-0000710A0000}"/>
    <cellStyle name="Comma 4 7 3 2 2 2" xfId="16046" xr:uid="{CF25DD10-0ABA-4C5E-B39A-C609CEEF3C39}"/>
    <cellStyle name="Comma 4 7 3 2 3" xfId="11828" xr:uid="{56B85F90-76F3-4EB0-A23B-34114C3D81B2}"/>
    <cellStyle name="Comma 4 7 3 3" xfId="5459" xr:uid="{00000000-0005-0000-0000-0000720A0000}"/>
    <cellStyle name="Comma 4 7 3 3 2" xfId="13901" xr:uid="{C203DD3C-022C-4848-A589-A1DFA92DEFE2}"/>
    <cellStyle name="Comma 4 7 3 4" xfId="9683" xr:uid="{23379E69-B81A-4DF3-B9F4-4E21B53DFAEC}"/>
    <cellStyle name="Comma 4 7 4" xfId="1564" xr:uid="{00000000-0005-0000-0000-0000730A0000}"/>
    <cellStyle name="Comma 4 7 4 2" xfId="3794" xr:uid="{00000000-0005-0000-0000-0000740A0000}"/>
    <cellStyle name="Comma 4 7 4 2 2" xfId="8017" xr:uid="{00000000-0005-0000-0000-0000750A0000}"/>
    <cellStyle name="Comma 4 7 4 2 2 2" xfId="16459" xr:uid="{3F700DE1-6393-43C4-81EE-6A448332CFB6}"/>
    <cellStyle name="Comma 4 7 4 2 3" xfId="12241" xr:uid="{FBB866A6-0CE6-42D3-B522-880C56312D01}"/>
    <cellStyle name="Comma 4 7 4 3" xfId="5872" xr:uid="{00000000-0005-0000-0000-0000760A0000}"/>
    <cellStyle name="Comma 4 7 4 3 2" xfId="14314" xr:uid="{32632F4B-ED6A-4B35-9C8F-16E05C15DDA0}"/>
    <cellStyle name="Comma 4 7 4 4" xfId="10096" xr:uid="{A335E7C5-936D-4486-836C-0F29A378A6E8}"/>
    <cellStyle name="Comma 4 7 5" xfId="1978" xr:uid="{00000000-0005-0000-0000-0000770A0000}"/>
    <cellStyle name="Comma 4 7 5 2" xfId="4207" xr:uid="{00000000-0005-0000-0000-0000780A0000}"/>
    <cellStyle name="Comma 4 7 5 2 2" xfId="8430" xr:uid="{00000000-0005-0000-0000-0000790A0000}"/>
    <cellStyle name="Comma 4 7 5 2 2 2" xfId="16872" xr:uid="{4A300313-7363-467A-B045-14AE3548DF54}"/>
    <cellStyle name="Comma 4 7 5 2 3" xfId="12654" xr:uid="{5D4B0163-7B72-41F9-894E-85C4A3003CE1}"/>
    <cellStyle name="Comma 4 7 5 3" xfId="6285" xr:uid="{00000000-0005-0000-0000-00007A0A0000}"/>
    <cellStyle name="Comma 4 7 5 3 2" xfId="14727" xr:uid="{AE17168C-A601-4417-91C2-558659BEFF68}"/>
    <cellStyle name="Comma 4 7 5 4" xfId="10509" xr:uid="{EA4D9C5F-B6C8-4E7B-B995-CFEDB1112047}"/>
    <cellStyle name="Comma 4 7 6" xfId="2413" xr:uid="{00000000-0005-0000-0000-00007B0A0000}"/>
    <cellStyle name="Comma 4 7 6 2" xfId="6698" xr:uid="{00000000-0005-0000-0000-00007C0A0000}"/>
    <cellStyle name="Comma 4 7 6 2 2" xfId="15140" xr:uid="{26C7F385-5FCA-44CA-8908-ED1BC3390F5C}"/>
    <cellStyle name="Comma 4 7 6 3" xfId="10922" xr:uid="{03AE10A7-0DF7-4471-A5F5-1BF26115680C}"/>
    <cellStyle name="Comma 4 7 7" xfId="2709" xr:uid="{00000000-0005-0000-0000-00007D0A0000}"/>
    <cellStyle name="Comma 4 7 8" xfId="2791" xr:uid="{00000000-0005-0000-0000-00007E0A0000}"/>
    <cellStyle name="Comma 4 7 8 2" xfId="7015" xr:uid="{00000000-0005-0000-0000-00007F0A0000}"/>
    <cellStyle name="Comma 4 7 8 2 2" xfId="15457" xr:uid="{5961EC9C-AF3C-4B69-8B46-B51356B33383}"/>
    <cellStyle name="Comma 4 7 8 3" xfId="11239" xr:uid="{8D70482B-6082-4FD6-8608-336723348609}"/>
    <cellStyle name="Comma 4 7 9" xfId="4632" xr:uid="{00000000-0005-0000-0000-0000800A0000}"/>
    <cellStyle name="Comma 4 7 9 2" xfId="13074" xr:uid="{3BABD54A-E7F5-42F1-9365-A372C78A9956}"/>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omma 7 2" xfId="12942" xr:uid="{1B8EF1C4-20D9-4B64-80A8-C2592EAED048}"/>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2 2" xfId="17159" xr:uid="{D9F5715C-1BCC-4478-92DF-E611028FCAAF}"/>
    <cellStyle name="Currency 14 3" xfId="8720" xr:uid="{729B09A7-2394-4D7C-912C-1471FB3455A3}"/>
    <cellStyle name="Currency 14 3 2" xfId="8724" xr:uid="{1945FB0F-31EC-4D98-B64C-BAFBADA341A1}"/>
    <cellStyle name="Currency 14 3 2 2" xfId="8727" xr:uid="{03BA8DEE-11D2-406B-B26D-8EE163916FB0}"/>
    <cellStyle name="Currency 14 3 2 2 2" xfId="17168" xr:uid="{9C950B59-4443-4BFD-BE9E-84353EB8AB65}"/>
    <cellStyle name="Currency 14 3 2 3" xfId="17165" xr:uid="{22AA636E-24C3-4322-932C-DD695860C660}"/>
    <cellStyle name="Currency 14 3 3" xfId="17162" xr:uid="{F6A93CA5-05A7-49B1-B8DA-2EDB0E24599F}"/>
    <cellStyle name="Currency 14 4" xfId="12945" xr:uid="{9E08F36D-B831-4792-97CB-DD753742886B}"/>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0 2 2" xfId="15458" xr:uid="{D9BC63CA-C4C5-4277-8DD1-01C6705CD92B}"/>
    <cellStyle name="Currency 3 2 2 10 3" xfId="11240" xr:uid="{6459E878-D000-41D1-89D4-41A38A2FDCCB}"/>
    <cellStyle name="Currency 3 2 2 11" xfId="4633" xr:uid="{00000000-0005-0000-0000-0000A50A0000}"/>
    <cellStyle name="Currency 3 2 2 11 2" xfId="13075" xr:uid="{5B1638D3-E466-49D5-BC3E-805B5B939671}"/>
    <cellStyle name="Currency 3 2 2 12" xfId="8857" xr:uid="{F9BCEAC5-39F7-4DEB-ADEA-8DCDD2F75074}"/>
    <cellStyle name="Currency 3 2 2 2" xfId="179" xr:uid="{00000000-0005-0000-0000-0000A60A0000}"/>
    <cellStyle name="Currency 3 2 2 2 10" xfId="4634" xr:uid="{00000000-0005-0000-0000-0000A70A0000}"/>
    <cellStyle name="Currency 3 2 2 2 10 2" xfId="13076" xr:uid="{CE421E9B-E9EA-46B1-8384-4B788917907D}"/>
    <cellStyle name="Currency 3 2 2 2 11" xfId="8858" xr:uid="{9BA6741A-58EA-4AF7-87A1-B2282D9AD6DB}"/>
    <cellStyle name="Currency 3 2 2 2 2" xfId="180" xr:uid="{00000000-0005-0000-0000-0000A80A0000}"/>
    <cellStyle name="Currency 3 2 2 2 2 10" xfId="8859" xr:uid="{A26F8C7B-AF55-48D1-8164-A972579849DF}"/>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2 2 2" xfId="15636" xr:uid="{665BF797-0BA2-4B2C-A9BA-4CBBFDBDB243}"/>
    <cellStyle name="Currency 3 2 2 2 2 2 2 3" xfId="11418" xr:uid="{242B5A72-A10F-40C1-9BE0-C52E2A94C66C}"/>
    <cellStyle name="Currency 3 2 2 2 2 2 3" xfId="5049" xr:uid="{00000000-0005-0000-0000-0000AC0A0000}"/>
    <cellStyle name="Currency 3 2 2 2 2 2 3 2" xfId="13491" xr:uid="{E2EF3F4A-F53F-434D-82FC-79E6F7DA2583}"/>
    <cellStyle name="Currency 3 2 2 2 2 2 4" xfId="9273" xr:uid="{137AD35D-4A76-43BB-B685-BD321A33A8FE}"/>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2 2 2" xfId="16049" xr:uid="{8F1610C7-354D-4335-B0D5-2FA91B5D2D12}"/>
    <cellStyle name="Currency 3 2 2 2 2 3 2 3" xfId="11831" xr:uid="{30267A2F-189A-4423-88D7-2A074C0B3D9C}"/>
    <cellStyle name="Currency 3 2 2 2 2 3 3" xfId="5462" xr:uid="{00000000-0005-0000-0000-0000B00A0000}"/>
    <cellStyle name="Currency 3 2 2 2 2 3 3 2" xfId="13904" xr:uid="{B762A37B-B65E-4173-B6F9-C303907DF20A}"/>
    <cellStyle name="Currency 3 2 2 2 2 3 4" xfId="9686" xr:uid="{D088890E-FF07-412A-BDE2-6C7BC8FFC081}"/>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2 2 2" xfId="16462" xr:uid="{39F56242-C76C-4A16-BF99-BF687439EB44}"/>
    <cellStyle name="Currency 3 2 2 2 2 4 2 3" xfId="12244" xr:uid="{784AD7E8-E39B-4AF2-A751-CB6781E37E4B}"/>
    <cellStyle name="Currency 3 2 2 2 2 4 3" xfId="5875" xr:uid="{00000000-0005-0000-0000-0000B40A0000}"/>
    <cellStyle name="Currency 3 2 2 2 2 4 3 2" xfId="14317" xr:uid="{AB7031C6-6029-4148-BCE3-4D22865D7809}"/>
    <cellStyle name="Currency 3 2 2 2 2 4 4" xfId="10099" xr:uid="{63DF7356-2A4F-4A83-8826-F78F7E989848}"/>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2 2 2" xfId="16875" xr:uid="{D6321870-F3D2-49BA-BA51-02C959C7F48D}"/>
    <cellStyle name="Currency 3 2 2 2 2 5 2 3" xfId="12657" xr:uid="{F20693CD-1514-4980-A52F-DE1DCAADB36C}"/>
    <cellStyle name="Currency 3 2 2 2 2 5 3" xfId="6288" xr:uid="{00000000-0005-0000-0000-0000B80A0000}"/>
    <cellStyle name="Currency 3 2 2 2 2 5 3 2" xfId="14730" xr:uid="{5DE6E160-A1B0-4EE9-8626-5D0B7286A869}"/>
    <cellStyle name="Currency 3 2 2 2 2 5 4" xfId="10512" xr:uid="{E600E04F-D1DB-4B05-8852-B60847BB878D}"/>
    <cellStyle name="Currency 3 2 2 2 2 6" xfId="2416" xr:uid="{00000000-0005-0000-0000-0000B90A0000}"/>
    <cellStyle name="Currency 3 2 2 2 2 6 2" xfId="6701" xr:uid="{00000000-0005-0000-0000-0000BA0A0000}"/>
    <cellStyle name="Currency 3 2 2 2 2 6 2 2" xfId="15143" xr:uid="{891C4FA3-B000-40D7-A26B-1E03F2E31C24}"/>
    <cellStyle name="Currency 3 2 2 2 2 6 3" xfId="10925" xr:uid="{BA3C0A9F-A0B2-4601-9145-BFB1E6936878}"/>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8 2 2" xfId="15460" xr:uid="{0C63D8A0-AE01-44C5-9CA1-7D4E7DD63642}"/>
    <cellStyle name="Currency 3 2 2 2 2 8 3" xfId="11242" xr:uid="{CCD35709-BCC7-4FC6-B1CC-3A17B9F60978}"/>
    <cellStyle name="Currency 3 2 2 2 2 9" xfId="4635" xr:uid="{00000000-0005-0000-0000-0000BE0A0000}"/>
    <cellStyle name="Currency 3 2 2 2 2 9 2" xfId="13077" xr:uid="{A573FC97-026E-45D3-B90B-9640E874BFA6}"/>
    <cellStyle name="Currency 3 2 2 2 3" xfId="709" xr:uid="{00000000-0005-0000-0000-0000BF0A0000}"/>
    <cellStyle name="Currency 3 2 2 2 3 2" xfId="2970" xr:uid="{00000000-0005-0000-0000-0000C00A0000}"/>
    <cellStyle name="Currency 3 2 2 2 3 2 2" xfId="7193" xr:uid="{00000000-0005-0000-0000-0000C10A0000}"/>
    <cellStyle name="Currency 3 2 2 2 3 2 2 2" xfId="15635" xr:uid="{21440E03-2508-40EC-AF67-B101E5A80F97}"/>
    <cellStyle name="Currency 3 2 2 2 3 2 3" xfId="11417" xr:uid="{22C1E174-C34E-49BF-ADF6-4CA08C3FF75F}"/>
    <cellStyle name="Currency 3 2 2 2 3 3" xfId="5048" xr:uid="{00000000-0005-0000-0000-0000C20A0000}"/>
    <cellStyle name="Currency 3 2 2 2 3 3 2" xfId="13490" xr:uid="{1EB7A44C-7342-43E2-9956-2295528417A0}"/>
    <cellStyle name="Currency 3 2 2 2 3 4" xfId="9272" xr:uid="{07AE8EFA-08CF-4D05-AAB4-1DD0CAAAD8A9}"/>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2 2 2" xfId="16048" xr:uid="{92F5F770-2FD1-4F26-88E8-7291BB6E82C3}"/>
    <cellStyle name="Currency 3 2 2 2 4 2 3" xfId="11830" xr:uid="{BEA0EB81-6E03-4994-95CC-BD239A3F7FB4}"/>
    <cellStyle name="Currency 3 2 2 2 4 3" xfId="5461" xr:uid="{00000000-0005-0000-0000-0000C60A0000}"/>
    <cellStyle name="Currency 3 2 2 2 4 3 2" xfId="13903" xr:uid="{A53CEC40-2B5F-44B2-B93A-24483083949D}"/>
    <cellStyle name="Currency 3 2 2 2 4 4" xfId="9685" xr:uid="{07769BC5-668B-468D-862D-634D6133E7C3}"/>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2 2 2" xfId="16461" xr:uid="{1798914E-1B09-4448-A4C6-74DE5B5E1B28}"/>
    <cellStyle name="Currency 3 2 2 2 5 2 3" xfId="12243" xr:uid="{F623BF74-94FE-42BB-807F-7B6A0703861E}"/>
    <cellStyle name="Currency 3 2 2 2 5 3" xfId="5874" xr:uid="{00000000-0005-0000-0000-0000CA0A0000}"/>
    <cellStyle name="Currency 3 2 2 2 5 3 2" xfId="14316" xr:uid="{33ED9B80-74F4-412E-8AAC-D3A21DC8BACE}"/>
    <cellStyle name="Currency 3 2 2 2 5 4" xfId="10098" xr:uid="{7D206A22-1436-4047-88D4-BF1B32B7776B}"/>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2 2 2" xfId="16874" xr:uid="{19D425D0-C303-4786-A6F7-29BCEC5D71E1}"/>
    <cellStyle name="Currency 3 2 2 2 6 2 3" xfId="12656" xr:uid="{A1F0552A-F447-401C-9FA9-CD4ECB7F0ABE}"/>
    <cellStyle name="Currency 3 2 2 2 6 3" xfId="6287" xr:uid="{00000000-0005-0000-0000-0000CE0A0000}"/>
    <cellStyle name="Currency 3 2 2 2 6 3 2" xfId="14729" xr:uid="{D56849FD-CDF9-413D-BB67-46F791E21F1B}"/>
    <cellStyle name="Currency 3 2 2 2 6 4" xfId="10511" xr:uid="{70662BCA-CD56-4E17-AEAE-447DB5927DA7}"/>
    <cellStyle name="Currency 3 2 2 2 7" xfId="2415" xr:uid="{00000000-0005-0000-0000-0000CF0A0000}"/>
    <cellStyle name="Currency 3 2 2 2 7 2" xfId="6700" xr:uid="{00000000-0005-0000-0000-0000D00A0000}"/>
    <cellStyle name="Currency 3 2 2 2 7 2 2" xfId="15142" xr:uid="{02B51633-D668-4F66-A996-E5C2803807C0}"/>
    <cellStyle name="Currency 3 2 2 2 7 3" xfId="10924" xr:uid="{B96BEF1F-8FA3-467B-818F-DAF5872F5074}"/>
    <cellStyle name="Currency 3 2 2 2 8" xfId="2712" xr:uid="{00000000-0005-0000-0000-0000D10A0000}"/>
    <cellStyle name="Currency 3 2 2 2 9" xfId="2793" xr:uid="{00000000-0005-0000-0000-0000D20A0000}"/>
    <cellStyle name="Currency 3 2 2 2 9 2" xfId="7017" xr:uid="{00000000-0005-0000-0000-0000D30A0000}"/>
    <cellStyle name="Currency 3 2 2 2 9 2 2" xfId="15459" xr:uid="{94317B4D-8649-4748-8343-12449AA8D2C9}"/>
    <cellStyle name="Currency 3 2 2 2 9 3" xfId="11241" xr:uid="{603554EB-CEAD-4A4D-8BE6-6CF06999734A}"/>
    <cellStyle name="Currency 3 2 2 3" xfId="181" xr:uid="{00000000-0005-0000-0000-0000D40A0000}"/>
    <cellStyle name="Currency 3 2 2 3 10" xfId="8860" xr:uid="{D5DF8B73-EB4E-4897-939A-FD63F8B38793}"/>
    <cellStyle name="Currency 3 2 2 3 2" xfId="711" xr:uid="{00000000-0005-0000-0000-0000D50A0000}"/>
    <cellStyle name="Currency 3 2 2 3 2 2" xfId="2972" xr:uid="{00000000-0005-0000-0000-0000D60A0000}"/>
    <cellStyle name="Currency 3 2 2 3 2 2 2" xfId="7195" xr:uid="{00000000-0005-0000-0000-0000D70A0000}"/>
    <cellStyle name="Currency 3 2 2 3 2 2 2 2" xfId="15637" xr:uid="{0AB26266-FD3A-4446-90F3-FE0F81A303DD}"/>
    <cellStyle name="Currency 3 2 2 3 2 2 3" xfId="11419" xr:uid="{A921AF08-0692-4281-A8EF-B7F2AAE0AA2E}"/>
    <cellStyle name="Currency 3 2 2 3 2 3" xfId="5050" xr:uid="{00000000-0005-0000-0000-0000D80A0000}"/>
    <cellStyle name="Currency 3 2 2 3 2 3 2" xfId="13492" xr:uid="{9354712E-B76A-4305-A427-F00ED3899CFF}"/>
    <cellStyle name="Currency 3 2 2 3 2 4" xfId="9274" xr:uid="{23C1496D-0DC0-4DA0-A851-D18B989D7943}"/>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2 2 2" xfId="16050" xr:uid="{FE70FC4B-7853-4BA4-9706-9460EA66388A}"/>
    <cellStyle name="Currency 3 2 2 3 3 2 3" xfId="11832" xr:uid="{A08CEF9C-4EFD-4905-B158-0580053396F6}"/>
    <cellStyle name="Currency 3 2 2 3 3 3" xfId="5463" xr:uid="{00000000-0005-0000-0000-0000DC0A0000}"/>
    <cellStyle name="Currency 3 2 2 3 3 3 2" xfId="13905" xr:uid="{73B2F109-6688-4DBA-BDA5-738E787530A2}"/>
    <cellStyle name="Currency 3 2 2 3 3 4" xfId="9687" xr:uid="{1139C144-94A2-42F2-ABBD-02F01E67986A}"/>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2 2 2" xfId="16463" xr:uid="{DCEC4261-34E8-47CA-8A00-58A4E7E4DB6C}"/>
    <cellStyle name="Currency 3 2 2 3 4 2 3" xfId="12245" xr:uid="{92C3A189-64B2-4040-9499-48A06E97BB6B}"/>
    <cellStyle name="Currency 3 2 2 3 4 3" xfId="5876" xr:uid="{00000000-0005-0000-0000-0000E00A0000}"/>
    <cellStyle name="Currency 3 2 2 3 4 3 2" xfId="14318" xr:uid="{A4C7F942-3B42-40E0-BCA6-B7EA97E038C5}"/>
    <cellStyle name="Currency 3 2 2 3 4 4" xfId="10100" xr:uid="{2781030F-BE7B-4FD2-8562-681026DE3191}"/>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2 2 2" xfId="16876" xr:uid="{BB1A80CC-AC55-4E47-9392-9D8011039A1B}"/>
    <cellStyle name="Currency 3 2 2 3 5 2 3" xfId="12658" xr:uid="{E39F2B78-B265-4250-9FC5-B67AF1E1CDAB}"/>
    <cellStyle name="Currency 3 2 2 3 5 3" xfId="6289" xr:uid="{00000000-0005-0000-0000-0000E40A0000}"/>
    <cellStyle name="Currency 3 2 2 3 5 3 2" xfId="14731" xr:uid="{DC3DFEA6-4C5C-49EB-BBBD-11BDFA26210B}"/>
    <cellStyle name="Currency 3 2 2 3 5 4" xfId="10513" xr:uid="{C7CFBE3A-ACD3-45D2-8F46-957AE2DB6C25}"/>
    <cellStyle name="Currency 3 2 2 3 6" xfId="2417" xr:uid="{00000000-0005-0000-0000-0000E50A0000}"/>
    <cellStyle name="Currency 3 2 2 3 6 2" xfId="6702" xr:uid="{00000000-0005-0000-0000-0000E60A0000}"/>
    <cellStyle name="Currency 3 2 2 3 6 2 2" xfId="15144" xr:uid="{2145C36A-D2C9-45BD-8DC8-A8F482231C89}"/>
    <cellStyle name="Currency 3 2 2 3 6 3" xfId="10926" xr:uid="{20CA1E2A-EDEA-4C47-A1AF-BAD1C7D693A9}"/>
    <cellStyle name="Currency 3 2 2 3 7" xfId="2714" xr:uid="{00000000-0005-0000-0000-0000E70A0000}"/>
    <cellStyle name="Currency 3 2 2 3 8" xfId="2795" xr:uid="{00000000-0005-0000-0000-0000E80A0000}"/>
    <cellStyle name="Currency 3 2 2 3 8 2" xfId="7019" xr:uid="{00000000-0005-0000-0000-0000E90A0000}"/>
    <cellStyle name="Currency 3 2 2 3 8 2 2" xfId="15461" xr:uid="{71F32E2E-9B3E-4FC0-AF43-E3F867416298}"/>
    <cellStyle name="Currency 3 2 2 3 8 3" xfId="11243" xr:uid="{8F1F84EE-F8F4-45E0-B70E-7B2A2594DAC7}"/>
    <cellStyle name="Currency 3 2 2 3 9" xfId="4636" xr:uid="{00000000-0005-0000-0000-0000EA0A0000}"/>
    <cellStyle name="Currency 3 2 2 3 9 2" xfId="13078" xr:uid="{1FEC388F-3354-4491-8967-8CBDE12C47B4}"/>
    <cellStyle name="Currency 3 2 2 4" xfId="708" xr:uid="{00000000-0005-0000-0000-0000EB0A0000}"/>
    <cellStyle name="Currency 3 2 2 4 2" xfId="2969" xr:uid="{00000000-0005-0000-0000-0000EC0A0000}"/>
    <cellStyle name="Currency 3 2 2 4 2 2" xfId="7192" xr:uid="{00000000-0005-0000-0000-0000ED0A0000}"/>
    <cellStyle name="Currency 3 2 2 4 2 2 2" xfId="15634" xr:uid="{A04535E6-4E6A-4341-A783-F2A1D9186AF4}"/>
    <cellStyle name="Currency 3 2 2 4 2 3" xfId="11416" xr:uid="{8A1D8CBF-CF52-413A-9978-A215C1BC5E2B}"/>
    <cellStyle name="Currency 3 2 2 4 3" xfId="5047" xr:uid="{00000000-0005-0000-0000-0000EE0A0000}"/>
    <cellStyle name="Currency 3 2 2 4 3 2" xfId="13489" xr:uid="{A2A24DC4-C339-41EB-A109-663D3C75D0AB}"/>
    <cellStyle name="Currency 3 2 2 4 4" xfId="9271" xr:uid="{56E5FAC3-F799-4257-A198-42D99432DD51}"/>
    <cellStyle name="Currency 3 2 2 5" xfId="1151" xr:uid="{00000000-0005-0000-0000-0000EF0A0000}"/>
    <cellStyle name="Currency 3 2 2 5 2" xfId="3382" xr:uid="{00000000-0005-0000-0000-0000F00A0000}"/>
    <cellStyle name="Currency 3 2 2 5 2 2" xfId="7605" xr:uid="{00000000-0005-0000-0000-0000F10A0000}"/>
    <cellStyle name="Currency 3 2 2 5 2 2 2" xfId="16047" xr:uid="{00F5E831-DA39-4BD0-8645-169BE75B709D}"/>
    <cellStyle name="Currency 3 2 2 5 2 3" xfId="11829" xr:uid="{C8B5C970-4705-43FD-A476-D86069906F65}"/>
    <cellStyle name="Currency 3 2 2 5 3" xfId="5460" xr:uid="{00000000-0005-0000-0000-0000F20A0000}"/>
    <cellStyle name="Currency 3 2 2 5 3 2" xfId="13902" xr:uid="{CB326DCB-278C-4EAA-AC11-EA1B3B1FC142}"/>
    <cellStyle name="Currency 3 2 2 5 4" xfId="9684" xr:uid="{0953FA1F-3B0D-46F8-91F1-964CBB17F452}"/>
    <cellStyle name="Currency 3 2 2 6" xfId="1565" xr:uid="{00000000-0005-0000-0000-0000F30A0000}"/>
    <cellStyle name="Currency 3 2 2 6 2" xfId="3795" xr:uid="{00000000-0005-0000-0000-0000F40A0000}"/>
    <cellStyle name="Currency 3 2 2 6 2 2" xfId="8018" xr:uid="{00000000-0005-0000-0000-0000F50A0000}"/>
    <cellStyle name="Currency 3 2 2 6 2 2 2" xfId="16460" xr:uid="{5767256C-CA02-4B96-8630-42F5488B114D}"/>
    <cellStyle name="Currency 3 2 2 6 2 3" xfId="12242" xr:uid="{BBF9C0F3-4E42-45D8-8A92-7F39063D0EF1}"/>
    <cellStyle name="Currency 3 2 2 6 3" xfId="5873" xr:uid="{00000000-0005-0000-0000-0000F60A0000}"/>
    <cellStyle name="Currency 3 2 2 6 3 2" xfId="14315" xr:uid="{1C77BB4B-D63D-4694-BDB0-3606ED52B397}"/>
    <cellStyle name="Currency 3 2 2 6 4" xfId="10097" xr:uid="{35A21CDF-5803-467E-A78A-FBF8A69B8863}"/>
    <cellStyle name="Currency 3 2 2 7" xfId="1979" xr:uid="{00000000-0005-0000-0000-0000F70A0000}"/>
    <cellStyle name="Currency 3 2 2 7 2" xfId="4208" xr:uid="{00000000-0005-0000-0000-0000F80A0000}"/>
    <cellStyle name="Currency 3 2 2 7 2 2" xfId="8431" xr:uid="{00000000-0005-0000-0000-0000F90A0000}"/>
    <cellStyle name="Currency 3 2 2 7 2 2 2" xfId="16873" xr:uid="{60E79484-CB57-439D-BC3C-EB08F5DB7691}"/>
    <cellStyle name="Currency 3 2 2 7 2 3" xfId="12655" xr:uid="{990665E9-791D-43F6-B413-8E3F5433D36B}"/>
    <cellStyle name="Currency 3 2 2 7 3" xfId="6286" xr:uid="{00000000-0005-0000-0000-0000FA0A0000}"/>
    <cellStyle name="Currency 3 2 2 7 3 2" xfId="14728" xr:uid="{B9A4AA43-D1BE-491B-B1E1-B634CFB56914}"/>
    <cellStyle name="Currency 3 2 2 7 4" xfId="10510" xr:uid="{8DBC14E9-6FC3-4B01-962D-32986B517D8C}"/>
    <cellStyle name="Currency 3 2 2 8" xfId="2414" xr:uid="{00000000-0005-0000-0000-0000FB0A0000}"/>
    <cellStyle name="Currency 3 2 2 8 2" xfId="6699" xr:uid="{00000000-0005-0000-0000-0000FC0A0000}"/>
    <cellStyle name="Currency 3 2 2 8 2 2" xfId="15141" xr:uid="{DEC78FF5-ABCF-46DA-9B08-E915E00672C5}"/>
    <cellStyle name="Currency 3 2 2 8 3" xfId="10923" xr:uid="{3A1B9485-D06C-40F3-8B55-0EF45B1645B4}"/>
    <cellStyle name="Currency 3 2 2 9" xfId="2711" xr:uid="{00000000-0005-0000-0000-0000FD0A0000}"/>
    <cellStyle name="Currency 3 2 3" xfId="182" xr:uid="{00000000-0005-0000-0000-0000FE0A0000}"/>
    <cellStyle name="Currency 3 2 3 10" xfId="4637" xr:uid="{00000000-0005-0000-0000-0000FF0A0000}"/>
    <cellStyle name="Currency 3 2 3 10 2" xfId="13079" xr:uid="{D93A0CA8-BCCB-42F7-BD4F-55F4C1118BC1}"/>
    <cellStyle name="Currency 3 2 3 11" xfId="8861" xr:uid="{14A995CD-E95F-4A9B-889F-17F4946B57C1}"/>
    <cellStyle name="Currency 3 2 3 2" xfId="183" xr:uid="{00000000-0005-0000-0000-0000000B0000}"/>
    <cellStyle name="Currency 3 2 3 2 10" xfId="8862" xr:uid="{EA628312-0D22-4F62-BB7B-4B447470D128}"/>
    <cellStyle name="Currency 3 2 3 2 2" xfId="713" xr:uid="{00000000-0005-0000-0000-0000010B0000}"/>
    <cellStyle name="Currency 3 2 3 2 2 2" xfId="2974" xr:uid="{00000000-0005-0000-0000-0000020B0000}"/>
    <cellStyle name="Currency 3 2 3 2 2 2 2" xfId="7197" xr:uid="{00000000-0005-0000-0000-0000030B0000}"/>
    <cellStyle name="Currency 3 2 3 2 2 2 2 2" xfId="15639" xr:uid="{7C65BEC4-D7DE-44B8-A42A-C8DEBD35CF45}"/>
    <cellStyle name="Currency 3 2 3 2 2 2 3" xfId="11421" xr:uid="{24FFD972-FD2B-4F8F-990E-6A249D601D93}"/>
    <cellStyle name="Currency 3 2 3 2 2 3" xfId="5052" xr:uid="{00000000-0005-0000-0000-0000040B0000}"/>
    <cellStyle name="Currency 3 2 3 2 2 3 2" xfId="13494" xr:uid="{DD9E6BAF-D061-428A-81F6-DEA72521C450}"/>
    <cellStyle name="Currency 3 2 3 2 2 4" xfId="9276" xr:uid="{2C114C9A-325E-4FB4-BF90-0E82C784892D}"/>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2 2 2" xfId="16052" xr:uid="{E8B17FB7-35B6-44FA-A820-A5E30FFECD59}"/>
    <cellStyle name="Currency 3 2 3 2 3 2 3" xfId="11834" xr:uid="{6D25B7F3-8D52-4044-B388-08436CDE9340}"/>
    <cellStyle name="Currency 3 2 3 2 3 3" xfId="5465" xr:uid="{00000000-0005-0000-0000-0000080B0000}"/>
    <cellStyle name="Currency 3 2 3 2 3 3 2" xfId="13907" xr:uid="{0F3890C1-8555-4FF8-94E2-B5E39821288E}"/>
    <cellStyle name="Currency 3 2 3 2 3 4" xfId="9689" xr:uid="{48E75B08-DBA7-4D3C-86C8-2722A5719EEC}"/>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2 2 2" xfId="16465" xr:uid="{C5615C61-E6DC-4839-8265-2BA450CB197A}"/>
    <cellStyle name="Currency 3 2 3 2 4 2 3" xfId="12247" xr:uid="{7ADD34F7-AB81-48D4-A9BD-22748F33B9EB}"/>
    <cellStyle name="Currency 3 2 3 2 4 3" xfId="5878" xr:uid="{00000000-0005-0000-0000-00000C0B0000}"/>
    <cellStyle name="Currency 3 2 3 2 4 3 2" xfId="14320" xr:uid="{0F5DB53B-8221-4882-9125-A8975BBE738C}"/>
    <cellStyle name="Currency 3 2 3 2 4 4" xfId="10102" xr:uid="{153667D3-AE8F-43F5-B977-C6C0E5286277}"/>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2 2 2" xfId="16878" xr:uid="{76DA8933-E79C-4768-988A-6DEF32A587E1}"/>
    <cellStyle name="Currency 3 2 3 2 5 2 3" xfId="12660" xr:uid="{7C14B0B2-C4A4-44A1-979F-6B20F1B2E5F2}"/>
    <cellStyle name="Currency 3 2 3 2 5 3" xfId="6291" xr:uid="{00000000-0005-0000-0000-0000100B0000}"/>
    <cellStyle name="Currency 3 2 3 2 5 3 2" xfId="14733" xr:uid="{5CC955C4-B0F8-4BBE-A275-A1FC4569AE4B}"/>
    <cellStyle name="Currency 3 2 3 2 5 4" xfId="10515" xr:uid="{13DD4F4A-BE12-4BAD-A443-1C964F1047FC}"/>
    <cellStyle name="Currency 3 2 3 2 6" xfId="2419" xr:uid="{00000000-0005-0000-0000-0000110B0000}"/>
    <cellStyle name="Currency 3 2 3 2 6 2" xfId="6704" xr:uid="{00000000-0005-0000-0000-0000120B0000}"/>
    <cellStyle name="Currency 3 2 3 2 6 2 2" xfId="15146" xr:uid="{C82CD530-CF80-4754-A556-C0072C19B76C}"/>
    <cellStyle name="Currency 3 2 3 2 6 3" xfId="10928" xr:uid="{FF042779-360D-4A4E-810E-6306132F9EDB}"/>
    <cellStyle name="Currency 3 2 3 2 7" xfId="2716" xr:uid="{00000000-0005-0000-0000-0000130B0000}"/>
    <cellStyle name="Currency 3 2 3 2 8" xfId="2797" xr:uid="{00000000-0005-0000-0000-0000140B0000}"/>
    <cellStyle name="Currency 3 2 3 2 8 2" xfId="7021" xr:uid="{00000000-0005-0000-0000-0000150B0000}"/>
    <cellStyle name="Currency 3 2 3 2 8 2 2" xfId="15463" xr:uid="{3F2BA393-9C49-49FD-8AA3-0751CF5CEDD7}"/>
    <cellStyle name="Currency 3 2 3 2 8 3" xfId="11245" xr:uid="{E20A43C2-A64C-4256-8506-37C3F43C8179}"/>
    <cellStyle name="Currency 3 2 3 2 9" xfId="4638" xr:uid="{00000000-0005-0000-0000-0000160B0000}"/>
    <cellStyle name="Currency 3 2 3 2 9 2" xfId="13080" xr:uid="{F1A918A2-7222-46E3-A734-B4CF2CFD68CD}"/>
    <cellStyle name="Currency 3 2 3 3" xfId="712" xr:uid="{00000000-0005-0000-0000-0000170B0000}"/>
    <cellStyle name="Currency 3 2 3 3 2" xfId="2973" xr:uid="{00000000-0005-0000-0000-0000180B0000}"/>
    <cellStyle name="Currency 3 2 3 3 2 2" xfId="7196" xr:uid="{00000000-0005-0000-0000-0000190B0000}"/>
    <cellStyle name="Currency 3 2 3 3 2 2 2" xfId="15638" xr:uid="{ACA8AAE3-9547-4177-ADE3-39AEF6D0A895}"/>
    <cellStyle name="Currency 3 2 3 3 2 3" xfId="11420" xr:uid="{A6D2600F-69B5-46B1-9864-0DCBE31C7B9C}"/>
    <cellStyle name="Currency 3 2 3 3 3" xfId="5051" xr:uid="{00000000-0005-0000-0000-00001A0B0000}"/>
    <cellStyle name="Currency 3 2 3 3 3 2" xfId="13493" xr:uid="{C6E31E3E-ECC6-44DB-8D8E-091B7B3ED46F}"/>
    <cellStyle name="Currency 3 2 3 3 4" xfId="9275" xr:uid="{2D8DCD72-2B2A-453A-B9FB-9B6A5B10D554}"/>
    <cellStyle name="Currency 3 2 3 4" xfId="1155" xr:uid="{00000000-0005-0000-0000-00001B0B0000}"/>
    <cellStyle name="Currency 3 2 3 4 2" xfId="3386" xr:uid="{00000000-0005-0000-0000-00001C0B0000}"/>
    <cellStyle name="Currency 3 2 3 4 2 2" xfId="7609" xr:uid="{00000000-0005-0000-0000-00001D0B0000}"/>
    <cellStyle name="Currency 3 2 3 4 2 2 2" xfId="16051" xr:uid="{A6F8CF76-4D7D-4C9C-9BE7-4C10867E75B9}"/>
    <cellStyle name="Currency 3 2 3 4 2 3" xfId="11833" xr:uid="{988FE8BC-A311-4BFF-BC66-2A0B5D7B1C2D}"/>
    <cellStyle name="Currency 3 2 3 4 3" xfId="5464" xr:uid="{00000000-0005-0000-0000-00001E0B0000}"/>
    <cellStyle name="Currency 3 2 3 4 3 2" xfId="13906" xr:uid="{43A37BC7-9D55-482B-97B9-0E0D66F950B9}"/>
    <cellStyle name="Currency 3 2 3 4 4" xfId="9688" xr:uid="{3B2E9426-53AF-4345-9A1B-82BC3A5E55CB}"/>
    <cellStyle name="Currency 3 2 3 5" xfId="1569" xr:uid="{00000000-0005-0000-0000-00001F0B0000}"/>
    <cellStyle name="Currency 3 2 3 5 2" xfId="3799" xr:uid="{00000000-0005-0000-0000-0000200B0000}"/>
    <cellStyle name="Currency 3 2 3 5 2 2" xfId="8022" xr:uid="{00000000-0005-0000-0000-0000210B0000}"/>
    <cellStyle name="Currency 3 2 3 5 2 2 2" xfId="16464" xr:uid="{F4D25CA4-EA1C-4F4A-BE24-A7D3B9FF07DF}"/>
    <cellStyle name="Currency 3 2 3 5 2 3" xfId="12246" xr:uid="{70A72682-D275-42AB-AFB4-3F254E3EF386}"/>
    <cellStyle name="Currency 3 2 3 5 3" xfId="5877" xr:uid="{00000000-0005-0000-0000-0000220B0000}"/>
    <cellStyle name="Currency 3 2 3 5 3 2" xfId="14319" xr:uid="{13C76A84-7976-43AF-AEEB-2CD15DC4E627}"/>
    <cellStyle name="Currency 3 2 3 5 4" xfId="10101" xr:uid="{55F85097-37AC-4215-94D6-9504A93A961F}"/>
    <cellStyle name="Currency 3 2 3 6" xfId="1983" xr:uid="{00000000-0005-0000-0000-0000230B0000}"/>
    <cellStyle name="Currency 3 2 3 6 2" xfId="4212" xr:uid="{00000000-0005-0000-0000-0000240B0000}"/>
    <cellStyle name="Currency 3 2 3 6 2 2" xfId="8435" xr:uid="{00000000-0005-0000-0000-0000250B0000}"/>
    <cellStyle name="Currency 3 2 3 6 2 2 2" xfId="16877" xr:uid="{4F4C5A55-6FD2-4EA2-9709-9315FEB3BBA0}"/>
    <cellStyle name="Currency 3 2 3 6 2 3" xfId="12659" xr:uid="{856315C7-AA3F-4DC3-8929-09A946EFB63B}"/>
    <cellStyle name="Currency 3 2 3 6 3" xfId="6290" xr:uid="{00000000-0005-0000-0000-0000260B0000}"/>
    <cellStyle name="Currency 3 2 3 6 3 2" xfId="14732" xr:uid="{7C0401C4-14BD-4CA6-9ACA-8EE9E75AB367}"/>
    <cellStyle name="Currency 3 2 3 6 4" xfId="10514" xr:uid="{21E1524E-2AB3-42F6-8546-FF501B972AB1}"/>
    <cellStyle name="Currency 3 2 3 7" xfId="2418" xr:uid="{00000000-0005-0000-0000-0000270B0000}"/>
    <cellStyle name="Currency 3 2 3 7 2" xfId="6703" xr:uid="{00000000-0005-0000-0000-0000280B0000}"/>
    <cellStyle name="Currency 3 2 3 7 2 2" xfId="15145" xr:uid="{BFBE2F5A-7168-4DC1-A761-CC665963C783}"/>
    <cellStyle name="Currency 3 2 3 7 3" xfId="10927" xr:uid="{6A42E97A-9619-4DDA-A576-CC886F56145A}"/>
    <cellStyle name="Currency 3 2 3 8" xfId="2715" xr:uid="{00000000-0005-0000-0000-0000290B0000}"/>
    <cellStyle name="Currency 3 2 3 9" xfId="2796" xr:uid="{00000000-0005-0000-0000-00002A0B0000}"/>
    <cellStyle name="Currency 3 2 3 9 2" xfId="7020" xr:uid="{00000000-0005-0000-0000-00002B0B0000}"/>
    <cellStyle name="Currency 3 2 3 9 2 2" xfId="15462" xr:uid="{56121A0B-730C-4B50-AC24-34CFE6FF96C3}"/>
    <cellStyle name="Currency 3 2 3 9 3" xfId="11244" xr:uid="{B43E3E18-BD4E-4FBA-A5F2-FE1F769B044E}"/>
    <cellStyle name="Currency 3 2 4" xfId="184" xr:uid="{00000000-0005-0000-0000-00002C0B0000}"/>
    <cellStyle name="Currency 3 2 4 10" xfId="8863" xr:uid="{AB75D25F-84EC-47C7-B60B-C9B955D0EDF9}"/>
    <cellStyle name="Currency 3 2 4 2" xfId="714" xr:uid="{00000000-0005-0000-0000-00002D0B0000}"/>
    <cellStyle name="Currency 3 2 4 2 2" xfId="2975" xr:uid="{00000000-0005-0000-0000-00002E0B0000}"/>
    <cellStyle name="Currency 3 2 4 2 2 2" xfId="7198" xr:uid="{00000000-0005-0000-0000-00002F0B0000}"/>
    <cellStyle name="Currency 3 2 4 2 2 2 2" xfId="15640" xr:uid="{5F94154B-E627-4AE0-A162-54D9F33424E3}"/>
    <cellStyle name="Currency 3 2 4 2 2 3" xfId="11422" xr:uid="{931A377E-CD8E-4594-BCE8-CD60446127FF}"/>
    <cellStyle name="Currency 3 2 4 2 3" xfId="5053" xr:uid="{00000000-0005-0000-0000-0000300B0000}"/>
    <cellStyle name="Currency 3 2 4 2 3 2" xfId="13495" xr:uid="{9D3288FC-05B0-4216-9CE5-7F5A41F68970}"/>
    <cellStyle name="Currency 3 2 4 2 4" xfId="9277" xr:uid="{ED0D4540-3DE7-4FE7-B4EB-D0AA0D04B6AA}"/>
    <cellStyle name="Currency 3 2 4 3" xfId="1157" xr:uid="{00000000-0005-0000-0000-0000310B0000}"/>
    <cellStyle name="Currency 3 2 4 3 2" xfId="3388" xr:uid="{00000000-0005-0000-0000-0000320B0000}"/>
    <cellStyle name="Currency 3 2 4 3 2 2" xfId="7611" xr:uid="{00000000-0005-0000-0000-0000330B0000}"/>
    <cellStyle name="Currency 3 2 4 3 2 2 2" xfId="16053" xr:uid="{33B7473E-2939-4F44-ABAD-6DBC571963D5}"/>
    <cellStyle name="Currency 3 2 4 3 2 3" xfId="11835" xr:uid="{500DFBDF-1D90-43B0-B57C-6A78F44E5D41}"/>
    <cellStyle name="Currency 3 2 4 3 3" xfId="5466" xr:uid="{00000000-0005-0000-0000-0000340B0000}"/>
    <cellStyle name="Currency 3 2 4 3 3 2" xfId="13908" xr:uid="{D15D3B93-54A0-4599-A643-394E4DD265DC}"/>
    <cellStyle name="Currency 3 2 4 3 4" xfId="9690" xr:uid="{73EBD936-C5BB-4995-9186-50903466C583}"/>
    <cellStyle name="Currency 3 2 4 4" xfId="1571" xr:uid="{00000000-0005-0000-0000-0000350B0000}"/>
    <cellStyle name="Currency 3 2 4 4 2" xfId="3801" xr:uid="{00000000-0005-0000-0000-0000360B0000}"/>
    <cellStyle name="Currency 3 2 4 4 2 2" xfId="8024" xr:uid="{00000000-0005-0000-0000-0000370B0000}"/>
    <cellStyle name="Currency 3 2 4 4 2 2 2" xfId="16466" xr:uid="{0FDB7F31-F75C-41FA-B905-EB7E358B03D9}"/>
    <cellStyle name="Currency 3 2 4 4 2 3" xfId="12248" xr:uid="{0C88F1A2-BF44-4BA7-AC53-CD572AEFF23C}"/>
    <cellStyle name="Currency 3 2 4 4 3" xfId="5879" xr:uid="{00000000-0005-0000-0000-0000380B0000}"/>
    <cellStyle name="Currency 3 2 4 4 3 2" xfId="14321" xr:uid="{1E0406B4-3D96-45C1-B97A-481361864951}"/>
    <cellStyle name="Currency 3 2 4 4 4" xfId="10103" xr:uid="{A03AFED5-22F7-4363-A0C1-236787A8A65E}"/>
    <cellStyle name="Currency 3 2 4 5" xfId="1985" xr:uid="{00000000-0005-0000-0000-0000390B0000}"/>
    <cellStyle name="Currency 3 2 4 5 2" xfId="4214" xr:uid="{00000000-0005-0000-0000-00003A0B0000}"/>
    <cellStyle name="Currency 3 2 4 5 2 2" xfId="8437" xr:uid="{00000000-0005-0000-0000-00003B0B0000}"/>
    <cellStyle name="Currency 3 2 4 5 2 2 2" xfId="16879" xr:uid="{80FADCEA-0A04-495A-BE24-DDCF22C1ED1E}"/>
    <cellStyle name="Currency 3 2 4 5 2 3" xfId="12661" xr:uid="{6D2AF424-8BCB-4FD5-AADC-B520C083CFBC}"/>
    <cellStyle name="Currency 3 2 4 5 3" xfId="6292" xr:uid="{00000000-0005-0000-0000-00003C0B0000}"/>
    <cellStyle name="Currency 3 2 4 5 3 2" xfId="14734" xr:uid="{811BD052-5464-46C1-B3B7-65ED641D8F7F}"/>
    <cellStyle name="Currency 3 2 4 5 4" xfId="10516" xr:uid="{52D110D1-5F6C-4680-AB49-B81A90895041}"/>
    <cellStyle name="Currency 3 2 4 6" xfId="2420" xr:uid="{00000000-0005-0000-0000-00003D0B0000}"/>
    <cellStyle name="Currency 3 2 4 6 2" xfId="6705" xr:uid="{00000000-0005-0000-0000-00003E0B0000}"/>
    <cellStyle name="Currency 3 2 4 6 2 2" xfId="15147" xr:uid="{081994F2-01D9-4EEB-879F-4D154BFD99B5}"/>
    <cellStyle name="Currency 3 2 4 6 3" xfId="10929" xr:uid="{DE9DC89D-E276-4AEC-ACA4-088DB3BB91A6}"/>
    <cellStyle name="Currency 3 2 4 7" xfId="2717" xr:uid="{00000000-0005-0000-0000-00003F0B0000}"/>
    <cellStyle name="Currency 3 2 4 8" xfId="2798" xr:uid="{00000000-0005-0000-0000-0000400B0000}"/>
    <cellStyle name="Currency 3 2 4 8 2" xfId="7022" xr:uid="{00000000-0005-0000-0000-0000410B0000}"/>
    <cellStyle name="Currency 3 2 4 8 2 2" xfId="15464" xr:uid="{68CFF402-EE13-4E58-B484-1CB664FB4FA1}"/>
    <cellStyle name="Currency 3 2 4 8 3" xfId="11246" xr:uid="{E5015BFC-7579-4F6F-AF7A-9B4A4215AB51}"/>
    <cellStyle name="Currency 3 2 4 9" xfId="4639" xr:uid="{00000000-0005-0000-0000-0000420B0000}"/>
    <cellStyle name="Currency 3 2 4 9 2" xfId="13081" xr:uid="{9A43EA42-7F47-46DC-8A06-3FEF2D0732AD}"/>
    <cellStyle name="Currency 3 2 5" xfId="185" xr:uid="{00000000-0005-0000-0000-0000430B0000}"/>
    <cellStyle name="Currency 3 2 5 10" xfId="8864" xr:uid="{51201F2A-E8CB-43C5-A046-EFF63391BC24}"/>
    <cellStyle name="Currency 3 2 5 2" xfId="715" xr:uid="{00000000-0005-0000-0000-0000440B0000}"/>
    <cellStyle name="Currency 3 2 5 2 2" xfId="2976" xr:uid="{00000000-0005-0000-0000-0000450B0000}"/>
    <cellStyle name="Currency 3 2 5 2 2 2" xfId="7199" xr:uid="{00000000-0005-0000-0000-0000460B0000}"/>
    <cellStyle name="Currency 3 2 5 2 2 2 2" xfId="15641" xr:uid="{920D47D3-B89A-4CDD-9BC6-828FA7D27852}"/>
    <cellStyle name="Currency 3 2 5 2 2 3" xfId="11423" xr:uid="{55BD978F-3DBA-4E0C-85B4-0733D36050D1}"/>
    <cellStyle name="Currency 3 2 5 2 3" xfId="5054" xr:uid="{00000000-0005-0000-0000-0000470B0000}"/>
    <cellStyle name="Currency 3 2 5 2 3 2" xfId="13496" xr:uid="{061EBCEA-A938-46E4-89B4-8E42ED0F70B1}"/>
    <cellStyle name="Currency 3 2 5 2 4" xfId="9278" xr:uid="{73469BCA-2468-4087-880D-DE0A895EA7C5}"/>
    <cellStyle name="Currency 3 2 5 3" xfId="1158" xr:uid="{00000000-0005-0000-0000-0000480B0000}"/>
    <cellStyle name="Currency 3 2 5 3 2" xfId="3389" xr:uid="{00000000-0005-0000-0000-0000490B0000}"/>
    <cellStyle name="Currency 3 2 5 3 2 2" xfId="7612" xr:uid="{00000000-0005-0000-0000-00004A0B0000}"/>
    <cellStyle name="Currency 3 2 5 3 2 2 2" xfId="16054" xr:uid="{565FB9FA-45C6-45C5-A5F1-7FA22FAAEB01}"/>
    <cellStyle name="Currency 3 2 5 3 2 3" xfId="11836" xr:uid="{12ADB13B-8161-4A8C-AB80-B11680060AEE}"/>
    <cellStyle name="Currency 3 2 5 3 3" xfId="5467" xr:uid="{00000000-0005-0000-0000-00004B0B0000}"/>
    <cellStyle name="Currency 3 2 5 3 3 2" xfId="13909" xr:uid="{E6850C5D-57F4-48C3-AD47-ED96CCC47DA9}"/>
    <cellStyle name="Currency 3 2 5 3 4" xfId="9691" xr:uid="{FE40CA97-7C59-4AAD-B785-2C49B7A10D6D}"/>
    <cellStyle name="Currency 3 2 5 4" xfId="1572" xr:uid="{00000000-0005-0000-0000-00004C0B0000}"/>
    <cellStyle name="Currency 3 2 5 4 2" xfId="3802" xr:uid="{00000000-0005-0000-0000-00004D0B0000}"/>
    <cellStyle name="Currency 3 2 5 4 2 2" xfId="8025" xr:uid="{00000000-0005-0000-0000-00004E0B0000}"/>
    <cellStyle name="Currency 3 2 5 4 2 2 2" xfId="16467" xr:uid="{11B07F88-3050-4B4D-AC1E-8EC0F3D96926}"/>
    <cellStyle name="Currency 3 2 5 4 2 3" xfId="12249" xr:uid="{9B8F2A1E-03F2-464A-9733-A961E2EB19E8}"/>
    <cellStyle name="Currency 3 2 5 4 3" xfId="5880" xr:uid="{00000000-0005-0000-0000-00004F0B0000}"/>
    <cellStyle name="Currency 3 2 5 4 3 2" xfId="14322" xr:uid="{9CA7BCEC-2629-4C50-A8B0-119D1F3BFA74}"/>
    <cellStyle name="Currency 3 2 5 4 4" xfId="10104" xr:uid="{A4F5777F-39AC-4145-9038-598D18C950BF}"/>
    <cellStyle name="Currency 3 2 5 5" xfId="1986" xr:uid="{00000000-0005-0000-0000-0000500B0000}"/>
    <cellStyle name="Currency 3 2 5 5 2" xfId="4215" xr:uid="{00000000-0005-0000-0000-0000510B0000}"/>
    <cellStyle name="Currency 3 2 5 5 2 2" xfId="8438" xr:uid="{00000000-0005-0000-0000-0000520B0000}"/>
    <cellStyle name="Currency 3 2 5 5 2 2 2" xfId="16880" xr:uid="{74E730AB-4527-40C1-BF72-95D702CBEF39}"/>
    <cellStyle name="Currency 3 2 5 5 2 3" xfId="12662" xr:uid="{95A4A620-95B5-4B58-A6A5-14391DA4306D}"/>
    <cellStyle name="Currency 3 2 5 5 3" xfId="6293" xr:uid="{00000000-0005-0000-0000-0000530B0000}"/>
    <cellStyle name="Currency 3 2 5 5 3 2" xfId="14735" xr:uid="{89ADE738-FC96-4639-AD16-E5B4DBE475A3}"/>
    <cellStyle name="Currency 3 2 5 5 4" xfId="10517" xr:uid="{5C4C7D88-BF1B-486C-8CD1-3B4D769B5F5B}"/>
    <cellStyle name="Currency 3 2 5 6" xfId="2421" xr:uid="{00000000-0005-0000-0000-0000540B0000}"/>
    <cellStyle name="Currency 3 2 5 6 2" xfId="6706" xr:uid="{00000000-0005-0000-0000-0000550B0000}"/>
    <cellStyle name="Currency 3 2 5 6 2 2" xfId="15148" xr:uid="{7F553AEF-2978-452A-B8EB-20ABD331B62B}"/>
    <cellStyle name="Currency 3 2 5 6 3" xfId="10930" xr:uid="{8E0FCCC3-C827-4B6B-8610-D1AAB847889F}"/>
    <cellStyle name="Currency 3 2 5 7" xfId="2718" xr:uid="{00000000-0005-0000-0000-0000560B0000}"/>
    <cellStyle name="Currency 3 2 5 8" xfId="2799" xr:uid="{00000000-0005-0000-0000-0000570B0000}"/>
    <cellStyle name="Currency 3 2 5 8 2" xfId="7023" xr:uid="{00000000-0005-0000-0000-0000580B0000}"/>
    <cellStyle name="Currency 3 2 5 8 2 2" xfId="15465" xr:uid="{46ED95F0-AE1F-4F2D-9FFE-52983E26BA8A}"/>
    <cellStyle name="Currency 3 2 5 8 3" xfId="11247" xr:uid="{8244755B-9D9F-47F2-B82E-99F47BC902EA}"/>
    <cellStyle name="Currency 3 2 5 9" xfId="4640" xr:uid="{00000000-0005-0000-0000-0000590B0000}"/>
    <cellStyle name="Currency 3 2 5 9 2" xfId="13082" xr:uid="{81F3FB88-61E8-40A9-921D-ACA670890DBD}"/>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0 2 2" xfId="15466" xr:uid="{4373E8E0-6FA4-4017-A6A4-81E313EF712C}"/>
    <cellStyle name="Currency 5 2 2 2 10 3" xfId="11248" xr:uid="{0751FCF6-601C-456A-9388-C5E6AC738BA7}"/>
    <cellStyle name="Currency 5 2 2 2 11" xfId="4641" xr:uid="{00000000-0005-0000-0000-00006C0B0000}"/>
    <cellStyle name="Currency 5 2 2 2 11 2" xfId="13083" xr:uid="{CAC01855-1EC0-4186-BDDC-BE62FCCBF33D}"/>
    <cellStyle name="Currency 5 2 2 2 12" xfId="8865" xr:uid="{3020DA31-99F8-433F-9FB5-F596EDDF1B97}"/>
    <cellStyle name="Currency 5 2 2 2 2" xfId="197" xr:uid="{00000000-0005-0000-0000-00006D0B0000}"/>
    <cellStyle name="Currency 5 2 2 2 2 10" xfId="4642" xr:uid="{00000000-0005-0000-0000-00006E0B0000}"/>
    <cellStyle name="Currency 5 2 2 2 2 10 2" xfId="13084" xr:uid="{E729889B-E6D3-4BF9-9524-F50B818E45DD}"/>
    <cellStyle name="Currency 5 2 2 2 2 11" xfId="8866" xr:uid="{0D6D5418-4779-4332-9B44-9F65F5BDE3AF}"/>
    <cellStyle name="Currency 5 2 2 2 2 2" xfId="198" xr:uid="{00000000-0005-0000-0000-00006F0B0000}"/>
    <cellStyle name="Currency 5 2 2 2 2 2 10" xfId="8867" xr:uid="{4CD83CA0-3F0F-4DCC-924A-9D9950F2FE1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2 2 2" xfId="15644" xr:uid="{4DD89B0A-2BDE-4928-8340-AC5786785D6E}"/>
    <cellStyle name="Currency 5 2 2 2 2 2 2 2 3" xfId="11426" xr:uid="{9B32B359-B482-42E1-AE7D-A0A7375730C3}"/>
    <cellStyle name="Currency 5 2 2 2 2 2 2 3" xfId="5057" xr:uid="{00000000-0005-0000-0000-0000730B0000}"/>
    <cellStyle name="Currency 5 2 2 2 2 2 2 3 2" xfId="13499" xr:uid="{D1594FD7-1B03-4934-94B6-D8EBF8D32BE0}"/>
    <cellStyle name="Currency 5 2 2 2 2 2 2 4" xfId="9281" xr:uid="{C9F18B04-4449-4B9B-8CF7-464EBE2674B4}"/>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2 2 2" xfId="16057" xr:uid="{BB760B99-26D0-4CEA-960C-962F447F8C03}"/>
    <cellStyle name="Currency 5 2 2 2 2 2 3 2 3" xfId="11839" xr:uid="{C152D3D8-45BC-4BB5-A7CF-3F4E9B1B114F}"/>
    <cellStyle name="Currency 5 2 2 2 2 2 3 3" xfId="5470" xr:uid="{00000000-0005-0000-0000-0000770B0000}"/>
    <cellStyle name="Currency 5 2 2 2 2 2 3 3 2" xfId="13912" xr:uid="{CF13F1B9-E9B7-45BD-816E-7CFE04CFC426}"/>
    <cellStyle name="Currency 5 2 2 2 2 2 3 4" xfId="9694" xr:uid="{96ACF759-CB66-4368-B4E2-A941D014C47A}"/>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2 2 2" xfId="16470" xr:uid="{838C3956-76C4-4298-8769-F9A4CD200A19}"/>
    <cellStyle name="Currency 5 2 2 2 2 2 4 2 3" xfId="12252" xr:uid="{63D53E19-1201-4FD7-B3F6-384D58DD8A4D}"/>
    <cellStyle name="Currency 5 2 2 2 2 2 4 3" xfId="5883" xr:uid="{00000000-0005-0000-0000-00007B0B0000}"/>
    <cellStyle name="Currency 5 2 2 2 2 2 4 3 2" xfId="14325" xr:uid="{4E1924B7-6F0D-4755-9EA1-26ED416E7D4E}"/>
    <cellStyle name="Currency 5 2 2 2 2 2 4 4" xfId="10107" xr:uid="{D0A74A88-1A8F-40C7-88ED-41F86F65874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2 2 2" xfId="16883" xr:uid="{5EB0ADC0-732E-4811-9588-077D3609D9A5}"/>
    <cellStyle name="Currency 5 2 2 2 2 2 5 2 3" xfId="12665" xr:uid="{E3B4BC21-5D6C-469B-B1C2-35FA24447F20}"/>
    <cellStyle name="Currency 5 2 2 2 2 2 5 3" xfId="6296" xr:uid="{00000000-0005-0000-0000-00007F0B0000}"/>
    <cellStyle name="Currency 5 2 2 2 2 2 5 3 2" xfId="14738" xr:uid="{928A14E0-8B77-4A0B-B482-18D4EFF0060D}"/>
    <cellStyle name="Currency 5 2 2 2 2 2 5 4" xfId="10520" xr:uid="{AAAAD529-1078-4025-917E-0965343B52B6}"/>
    <cellStyle name="Currency 5 2 2 2 2 2 6" xfId="2424" xr:uid="{00000000-0005-0000-0000-0000800B0000}"/>
    <cellStyle name="Currency 5 2 2 2 2 2 6 2" xfId="6709" xr:uid="{00000000-0005-0000-0000-0000810B0000}"/>
    <cellStyle name="Currency 5 2 2 2 2 2 6 2 2" xfId="15151" xr:uid="{20D9A13D-5A9F-4ED2-82B2-6CE915EF5FBD}"/>
    <cellStyle name="Currency 5 2 2 2 2 2 6 3" xfId="10933" xr:uid="{C9B68C98-701F-4F99-AF6A-DB98E50A2C8D}"/>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8 2 2" xfId="15468" xr:uid="{F371973D-0B28-40E2-BEF6-FB3EE9488424}"/>
    <cellStyle name="Currency 5 2 2 2 2 2 8 3" xfId="11250" xr:uid="{7C8D574E-1E96-443E-BA91-64FF4B7A307C}"/>
    <cellStyle name="Currency 5 2 2 2 2 2 9" xfId="4643" xr:uid="{00000000-0005-0000-0000-0000850B0000}"/>
    <cellStyle name="Currency 5 2 2 2 2 2 9 2" xfId="13085" xr:uid="{3BE85E21-7AC2-456E-B755-4DBE15E638EA}"/>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2 2 2" xfId="15643" xr:uid="{0442A696-624B-42C2-82E4-AFC252F673C6}"/>
    <cellStyle name="Currency 5 2 2 2 2 3 2 3" xfId="11425" xr:uid="{222C5C0F-5BB1-46B3-82CF-DB5DCF46EF87}"/>
    <cellStyle name="Currency 5 2 2 2 2 3 3" xfId="5056" xr:uid="{00000000-0005-0000-0000-0000890B0000}"/>
    <cellStyle name="Currency 5 2 2 2 2 3 3 2" xfId="13498" xr:uid="{65FC9681-8158-4B77-9A80-40C09D852F6B}"/>
    <cellStyle name="Currency 5 2 2 2 2 3 4" xfId="9280" xr:uid="{F1405AB5-A49D-44F3-952E-61F5418A5F1C}"/>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2 2 2" xfId="16056" xr:uid="{096C279B-1D88-40E0-9E66-96A371093943}"/>
    <cellStyle name="Currency 5 2 2 2 2 4 2 3" xfId="11838" xr:uid="{3EC45C23-2D4F-437C-A4EC-99099C2B06B3}"/>
    <cellStyle name="Currency 5 2 2 2 2 4 3" xfId="5469" xr:uid="{00000000-0005-0000-0000-00008D0B0000}"/>
    <cellStyle name="Currency 5 2 2 2 2 4 3 2" xfId="13911" xr:uid="{728554B5-C283-4EAF-A73D-2409CC49DA0B}"/>
    <cellStyle name="Currency 5 2 2 2 2 4 4" xfId="9693" xr:uid="{A570B110-F020-43D3-A911-B6C78F946E15}"/>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2 2 2" xfId="16469" xr:uid="{A00A67CB-6EAB-4C6D-955D-43497460DB5C}"/>
    <cellStyle name="Currency 5 2 2 2 2 5 2 3" xfId="12251" xr:uid="{BD24CF1E-B437-4F39-AD98-398856DCE830}"/>
    <cellStyle name="Currency 5 2 2 2 2 5 3" xfId="5882" xr:uid="{00000000-0005-0000-0000-0000910B0000}"/>
    <cellStyle name="Currency 5 2 2 2 2 5 3 2" xfId="14324" xr:uid="{E9B00FC4-A2ED-4086-B9F2-803888CCE88F}"/>
    <cellStyle name="Currency 5 2 2 2 2 5 4" xfId="10106" xr:uid="{C9DC9D75-C3ED-45C4-B2D0-83D5F75A0CEE}"/>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2 2 2" xfId="16882" xr:uid="{7C4F232B-FB32-432E-A757-25B61365A828}"/>
    <cellStyle name="Currency 5 2 2 2 2 6 2 3" xfId="12664" xr:uid="{7B0B1BC0-A234-48C5-BF6C-AB20BEB4269E}"/>
    <cellStyle name="Currency 5 2 2 2 2 6 3" xfId="6295" xr:uid="{00000000-0005-0000-0000-0000950B0000}"/>
    <cellStyle name="Currency 5 2 2 2 2 6 3 2" xfId="14737" xr:uid="{279866D9-4C98-4D1C-8552-91881E712C6F}"/>
    <cellStyle name="Currency 5 2 2 2 2 6 4" xfId="10519" xr:uid="{1EF2B32A-2759-4CC4-A141-77BD0F69C5A5}"/>
    <cellStyle name="Currency 5 2 2 2 2 7" xfId="2423" xr:uid="{00000000-0005-0000-0000-0000960B0000}"/>
    <cellStyle name="Currency 5 2 2 2 2 7 2" xfId="6708" xr:uid="{00000000-0005-0000-0000-0000970B0000}"/>
    <cellStyle name="Currency 5 2 2 2 2 7 2 2" xfId="15150" xr:uid="{65384554-0A3C-49A6-BDB5-18E81C86331C}"/>
    <cellStyle name="Currency 5 2 2 2 2 7 3" xfId="10932" xr:uid="{8BA6C9B8-BC2F-4591-ADC4-1F79E5A877A4}"/>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2 9 2 2" xfId="15467" xr:uid="{FDAE3D15-5E6D-4B18-B494-3D1F683A80E7}"/>
    <cellStyle name="Currency 5 2 2 2 2 9 3" xfId="11249" xr:uid="{3E2DB10C-F202-4752-96BD-2DAED80E6902}"/>
    <cellStyle name="Currency 5 2 2 2 3" xfId="199" xr:uid="{00000000-0005-0000-0000-00009B0B0000}"/>
    <cellStyle name="Currency 5 2 2 2 3 10" xfId="8868" xr:uid="{3F7BEC69-AFC7-49E1-85C1-DEFFD966B98D}"/>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2 2 2" xfId="15645" xr:uid="{B679AF22-F8DF-43B6-ACBA-B6C926349660}"/>
    <cellStyle name="Currency 5 2 2 2 3 2 2 3" xfId="11427" xr:uid="{956E44A1-A458-4D81-A238-5DC6E379B728}"/>
    <cellStyle name="Currency 5 2 2 2 3 2 3" xfId="5058" xr:uid="{00000000-0005-0000-0000-00009F0B0000}"/>
    <cellStyle name="Currency 5 2 2 2 3 2 3 2" xfId="13500" xr:uid="{DC13E4E4-0A01-42D9-8ADE-E0A01D0D7301}"/>
    <cellStyle name="Currency 5 2 2 2 3 2 4" xfId="9282" xr:uid="{DBD102B2-06BA-409A-9D1D-2101D5122C37}"/>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2 2 2" xfId="16058" xr:uid="{577ED2CE-DE62-4F30-B8D6-761857B7E2C6}"/>
    <cellStyle name="Currency 5 2 2 2 3 3 2 3" xfId="11840" xr:uid="{47519BA6-C20B-4802-AE60-397395C5F847}"/>
    <cellStyle name="Currency 5 2 2 2 3 3 3" xfId="5471" xr:uid="{00000000-0005-0000-0000-0000A30B0000}"/>
    <cellStyle name="Currency 5 2 2 2 3 3 3 2" xfId="13913" xr:uid="{002DEF7D-95AA-4C59-A716-75A67A848314}"/>
    <cellStyle name="Currency 5 2 2 2 3 3 4" xfId="9695" xr:uid="{5912D2E1-AA29-4FC1-86B7-E778629C6FD7}"/>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2 2 2" xfId="16471" xr:uid="{7247E607-4BCD-46A6-A0F4-666D2E84FBE4}"/>
    <cellStyle name="Currency 5 2 2 2 3 4 2 3" xfId="12253" xr:uid="{CCBD56BE-D168-4851-92CD-BD5E97EB19EC}"/>
    <cellStyle name="Currency 5 2 2 2 3 4 3" xfId="5884" xr:uid="{00000000-0005-0000-0000-0000A70B0000}"/>
    <cellStyle name="Currency 5 2 2 2 3 4 3 2" xfId="14326" xr:uid="{A7C3C2B3-CFAB-4578-A44A-8538B15378A1}"/>
    <cellStyle name="Currency 5 2 2 2 3 4 4" xfId="10108" xr:uid="{C07021E6-6E38-4836-8805-73834D762A89}"/>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2 2 2" xfId="16884" xr:uid="{5EB6B07B-A74F-4A94-84E1-C3FD0A6D3DE7}"/>
    <cellStyle name="Currency 5 2 2 2 3 5 2 3" xfId="12666" xr:uid="{29EC1925-225C-4FCE-882C-2FE4FDCBBC23}"/>
    <cellStyle name="Currency 5 2 2 2 3 5 3" xfId="6297" xr:uid="{00000000-0005-0000-0000-0000AB0B0000}"/>
    <cellStyle name="Currency 5 2 2 2 3 5 3 2" xfId="14739" xr:uid="{B8B8B866-6E8C-45DE-9E9A-447363848978}"/>
    <cellStyle name="Currency 5 2 2 2 3 5 4" xfId="10521" xr:uid="{D8C441A7-0782-4C40-95AA-16F50A4181D2}"/>
    <cellStyle name="Currency 5 2 2 2 3 6" xfId="2425" xr:uid="{00000000-0005-0000-0000-0000AC0B0000}"/>
    <cellStyle name="Currency 5 2 2 2 3 6 2" xfId="6710" xr:uid="{00000000-0005-0000-0000-0000AD0B0000}"/>
    <cellStyle name="Currency 5 2 2 2 3 6 2 2" xfId="15152" xr:uid="{E030149B-F35C-4FE6-AB6D-26D728978D47}"/>
    <cellStyle name="Currency 5 2 2 2 3 6 3" xfId="10934" xr:uid="{66B17C01-1795-425E-8158-34D390F2BA17}"/>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8 2 2" xfId="15469" xr:uid="{89501EE9-9099-46C5-999C-A83274CAA58F}"/>
    <cellStyle name="Currency 5 2 2 2 3 8 3" xfId="11251" xr:uid="{A7425EA4-D08F-45A6-9954-E80A8CBCE4CB}"/>
    <cellStyle name="Currency 5 2 2 2 3 9" xfId="4644" xr:uid="{00000000-0005-0000-0000-0000B10B0000}"/>
    <cellStyle name="Currency 5 2 2 2 3 9 2" xfId="13086" xr:uid="{1A939FC0-5B40-4989-984A-C4F25F88EF1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2 2 2" xfId="15642" xr:uid="{A53EB82A-BC72-4E17-B561-BE7A8DD778A5}"/>
    <cellStyle name="Currency 5 2 2 2 4 2 3" xfId="11424" xr:uid="{E37F4816-6410-4906-8B8B-7D87F2307C88}"/>
    <cellStyle name="Currency 5 2 2 2 4 3" xfId="5055" xr:uid="{00000000-0005-0000-0000-0000B50B0000}"/>
    <cellStyle name="Currency 5 2 2 2 4 3 2" xfId="13497" xr:uid="{67050854-1D53-43D3-9E32-ED4AEEFC682F}"/>
    <cellStyle name="Currency 5 2 2 2 4 4" xfId="9279" xr:uid="{80A9D30D-0F97-4445-B21C-FE41A7CD4743}"/>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2 2 2" xfId="16055" xr:uid="{21FEFFBF-C11B-42CE-B6DC-B75CE91FD8A5}"/>
    <cellStyle name="Currency 5 2 2 2 5 2 3" xfId="11837" xr:uid="{971EC89F-76F7-490B-87B4-1757A1801689}"/>
    <cellStyle name="Currency 5 2 2 2 5 3" xfId="5468" xr:uid="{00000000-0005-0000-0000-0000B90B0000}"/>
    <cellStyle name="Currency 5 2 2 2 5 3 2" xfId="13910" xr:uid="{9F7695F8-BB59-4D15-8DFE-34BA807693A8}"/>
    <cellStyle name="Currency 5 2 2 2 5 4" xfId="9692" xr:uid="{261AA6B3-4CDA-43F7-A516-88D1EAAC5237}"/>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2 2 2" xfId="16468" xr:uid="{1ED5A17A-B56A-45B7-B443-D7C3C103ABC0}"/>
    <cellStyle name="Currency 5 2 2 2 6 2 3" xfId="12250" xr:uid="{8E9087A0-7E2A-4B01-9840-8DBB8DD77AAC}"/>
    <cellStyle name="Currency 5 2 2 2 6 3" xfId="5881" xr:uid="{00000000-0005-0000-0000-0000BD0B0000}"/>
    <cellStyle name="Currency 5 2 2 2 6 3 2" xfId="14323" xr:uid="{CD6D0A50-988F-4C12-83B4-89706794D2C5}"/>
    <cellStyle name="Currency 5 2 2 2 6 4" xfId="10105" xr:uid="{D5A34423-19A4-4572-8A54-F547E21916F4}"/>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2 2 2" xfId="16881" xr:uid="{1296EB1A-0CAE-4D97-A5F5-CBE89E8A2DB4}"/>
    <cellStyle name="Currency 5 2 2 2 7 2 3" xfId="12663" xr:uid="{1CBEB667-F672-4DF3-B328-899FE214D1F4}"/>
    <cellStyle name="Currency 5 2 2 2 7 3" xfId="6294" xr:uid="{00000000-0005-0000-0000-0000C10B0000}"/>
    <cellStyle name="Currency 5 2 2 2 7 3 2" xfId="14736" xr:uid="{D86A763D-FFDA-4804-B1CF-DBE26EBC27A3}"/>
    <cellStyle name="Currency 5 2 2 2 7 4" xfId="10518" xr:uid="{107676AA-394C-4AE1-B813-450F9667EA5B}"/>
    <cellStyle name="Currency 5 2 2 2 8" xfId="2422" xr:uid="{00000000-0005-0000-0000-0000C20B0000}"/>
    <cellStyle name="Currency 5 2 2 2 8 2" xfId="6707" xr:uid="{00000000-0005-0000-0000-0000C30B0000}"/>
    <cellStyle name="Currency 5 2 2 2 8 2 2" xfId="15149" xr:uid="{0C099830-C103-4C9D-BE4F-4347C5EB3B3F}"/>
    <cellStyle name="Currency 5 2 2 2 8 3" xfId="10931" xr:uid="{1441C229-CFD7-482D-AA32-DBDAAC220267}"/>
    <cellStyle name="Currency 5 2 2 2 9" xfId="2719" xr:uid="{00000000-0005-0000-0000-0000C40B0000}"/>
    <cellStyle name="Currency 5 2 2 3" xfId="200" xr:uid="{00000000-0005-0000-0000-0000C50B0000}"/>
    <cellStyle name="Currency 5 2 2 3 10" xfId="4645" xr:uid="{00000000-0005-0000-0000-0000C60B0000}"/>
    <cellStyle name="Currency 5 2 2 3 10 2" xfId="13087" xr:uid="{BA7F0E5D-5A0B-45A3-9A75-4F43359928DB}"/>
    <cellStyle name="Currency 5 2 2 3 11" xfId="8869" xr:uid="{5EFDEA3C-71B8-42BD-B3EB-FC66549C6694}"/>
    <cellStyle name="Currency 5 2 2 3 2" xfId="201" xr:uid="{00000000-0005-0000-0000-0000C70B0000}"/>
    <cellStyle name="Currency 5 2 2 3 2 10" xfId="8870" xr:uid="{CDE4EBD8-21CA-48D8-96F7-EE96AFD31A7A}"/>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2 2 2" xfId="15647" xr:uid="{09B967EB-010C-430E-8B3C-7594D7A60FC7}"/>
    <cellStyle name="Currency 5 2 2 3 2 2 2 3" xfId="11429" xr:uid="{2F1A313F-4102-4B40-85EE-366B232C9D7F}"/>
    <cellStyle name="Currency 5 2 2 3 2 2 3" xfId="5060" xr:uid="{00000000-0005-0000-0000-0000CB0B0000}"/>
    <cellStyle name="Currency 5 2 2 3 2 2 3 2" xfId="13502" xr:uid="{05462BA5-0092-44A9-AD6D-B4F080AA1E31}"/>
    <cellStyle name="Currency 5 2 2 3 2 2 4" xfId="9284" xr:uid="{50524541-FADD-4314-B94D-D60FFAA3BB19}"/>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2 2 2" xfId="16060" xr:uid="{2B3C2192-15A7-4AC3-BF04-232D95804B18}"/>
    <cellStyle name="Currency 5 2 2 3 2 3 2 3" xfId="11842" xr:uid="{FFE241C2-3ECF-4A30-B546-941DB35519EB}"/>
    <cellStyle name="Currency 5 2 2 3 2 3 3" xfId="5473" xr:uid="{00000000-0005-0000-0000-0000CF0B0000}"/>
    <cellStyle name="Currency 5 2 2 3 2 3 3 2" xfId="13915" xr:uid="{FAB44C79-C4B4-4557-A071-5E09511463E2}"/>
    <cellStyle name="Currency 5 2 2 3 2 3 4" xfId="9697" xr:uid="{5035A013-27E6-4800-AB17-39D70536F7B3}"/>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2 2 2" xfId="16473" xr:uid="{12EC820A-7609-4C35-B374-32E5131DDB9E}"/>
    <cellStyle name="Currency 5 2 2 3 2 4 2 3" xfId="12255" xr:uid="{F9A684AC-05DC-44FE-AE70-3707455681E4}"/>
    <cellStyle name="Currency 5 2 2 3 2 4 3" xfId="5886" xr:uid="{00000000-0005-0000-0000-0000D30B0000}"/>
    <cellStyle name="Currency 5 2 2 3 2 4 3 2" xfId="14328" xr:uid="{4E4972D7-FD7A-4C04-B2AF-D20FA3729DAA}"/>
    <cellStyle name="Currency 5 2 2 3 2 4 4" xfId="10110" xr:uid="{4ECC09AB-F47C-4A4B-8461-B1BBE974F933}"/>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2 2 2" xfId="16886" xr:uid="{248329F9-0A10-4AE0-B4D6-67C14C1AC948}"/>
    <cellStyle name="Currency 5 2 2 3 2 5 2 3" xfId="12668" xr:uid="{7D02C87C-4891-4814-82C8-B2D9E2F95524}"/>
    <cellStyle name="Currency 5 2 2 3 2 5 3" xfId="6299" xr:uid="{00000000-0005-0000-0000-0000D70B0000}"/>
    <cellStyle name="Currency 5 2 2 3 2 5 3 2" xfId="14741" xr:uid="{E9333D79-FAEA-414D-8291-30907E0E6120}"/>
    <cellStyle name="Currency 5 2 2 3 2 5 4" xfId="10523" xr:uid="{E3F23AD6-9AE4-45FE-8BB8-5AF5E64F630F}"/>
    <cellStyle name="Currency 5 2 2 3 2 6" xfId="2427" xr:uid="{00000000-0005-0000-0000-0000D80B0000}"/>
    <cellStyle name="Currency 5 2 2 3 2 6 2" xfId="6712" xr:uid="{00000000-0005-0000-0000-0000D90B0000}"/>
    <cellStyle name="Currency 5 2 2 3 2 6 2 2" xfId="15154" xr:uid="{D96834C0-3DE3-4A5D-8479-17BE6967B847}"/>
    <cellStyle name="Currency 5 2 2 3 2 6 3" xfId="10936" xr:uid="{2158DF95-4A70-4C12-B0A8-9E3C8364FDC6}"/>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8 2 2" xfId="15471" xr:uid="{F7CC882B-29ED-4040-A502-33F3A7DCDA2F}"/>
    <cellStyle name="Currency 5 2 2 3 2 8 3" xfId="11253" xr:uid="{E527AD1B-7AB3-475F-BCC1-D51609D8D9A6}"/>
    <cellStyle name="Currency 5 2 2 3 2 9" xfId="4646" xr:uid="{00000000-0005-0000-0000-0000DD0B0000}"/>
    <cellStyle name="Currency 5 2 2 3 2 9 2" xfId="13088" xr:uid="{8812F9AD-B3DF-4554-A075-DC466A572F55}"/>
    <cellStyle name="Currency 5 2 2 3 3" xfId="727" xr:uid="{00000000-0005-0000-0000-0000DE0B0000}"/>
    <cellStyle name="Currency 5 2 2 3 3 2" xfId="2981" xr:uid="{00000000-0005-0000-0000-0000DF0B0000}"/>
    <cellStyle name="Currency 5 2 2 3 3 2 2" xfId="7204" xr:uid="{00000000-0005-0000-0000-0000E00B0000}"/>
    <cellStyle name="Currency 5 2 2 3 3 2 2 2" xfId="15646" xr:uid="{F6BE1851-01CD-4B24-90EA-B42A49E57F85}"/>
    <cellStyle name="Currency 5 2 2 3 3 2 3" xfId="11428" xr:uid="{E953DD1C-EF98-478A-ACE7-B5DE1D19A6E1}"/>
    <cellStyle name="Currency 5 2 2 3 3 3" xfId="5059" xr:uid="{00000000-0005-0000-0000-0000E10B0000}"/>
    <cellStyle name="Currency 5 2 2 3 3 3 2" xfId="13501" xr:uid="{58310DFB-F0C5-4882-8479-4E1CA405AE61}"/>
    <cellStyle name="Currency 5 2 2 3 3 4" xfId="9283" xr:uid="{C725B8AD-3C65-4050-B45C-99EA59ED2C92}"/>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2 2 2" xfId="16059" xr:uid="{F6818413-10DA-4185-A3F9-711AEFAFB597}"/>
    <cellStyle name="Currency 5 2 2 3 4 2 3" xfId="11841" xr:uid="{10A60789-611A-4C72-935B-9E498D7ADE2C}"/>
    <cellStyle name="Currency 5 2 2 3 4 3" xfId="5472" xr:uid="{00000000-0005-0000-0000-0000E50B0000}"/>
    <cellStyle name="Currency 5 2 2 3 4 3 2" xfId="13914" xr:uid="{90B501B7-17B4-4635-918F-620081CCCA9F}"/>
    <cellStyle name="Currency 5 2 2 3 4 4" xfId="9696" xr:uid="{2E4959F1-AE90-4653-9798-C2AE1685B648}"/>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2 2 2" xfId="16472" xr:uid="{5F73A387-DAEF-46E8-BA43-0DBDD6576916}"/>
    <cellStyle name="Currency 5 2 2 3 5 2 3" xfId="12254" xr:uid="{C7823871-2D06-4B19-AD43-0B02C64473BD}"/>
    <cellStyle name="Currency 5 2 2 3 5 3" xfId="5885" xr:uid="{00000000-0005-0000-0000-0000E90B0000}"/>
    <cellStyle name="Currency 5 2 2 3 5 3 2" xfId="14327" xr:uid="{18F7E9A1-0EF4-4BF6-8494-77FB9D75486E}"/>
    <cellStyle name="Currency 5 2 2 3 5 4" xfId="10109" xr:uid="{03748EEE-9B24-481B-B7B8-606B57CE33FA}"/>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2 2 2" xfId="16885" xr:uid="{84A595FD-7297-4A67-854F-B87285E4F392}"/>
    <cellStyle name="Currency 5 2 2 3 6 2 3" xfId="12667" xr:uid="{968490FD-4AAD-4A3F-BDB3-3EA7EB13E288}"/>
    <cellStyle name="Currency 5 2 2 3 6 3" xfId="6298" xr:uid="{00000000-0005-0000-0000-0000ED0B0000}"/>
    <cellStyle name="Currency 5 2 2 3 6 3 2" xfId="14740" xr:uid="{BFC15BAA-59B2-41A1-9135-EC38666FDA98}"/>
    <cellStyle name="Currency 5 2 2 3 6 4" xfId="10522" xr:uid="{D7DE3C86-04FD-489C-995D-7298DD8CB694}"/>
    <cellStyle name="Currency 5 2 2 3 7" xfId="2426" xr:uid="{00000000-0005-0000-0000-0000EE0B0000}"/>
    <cellStyle name="Currency 5 2 2 3 7 2" xfId="6711" xr:uid="{00000000-0005-0000-0000-0000EF0B0000}"/>
    <cellStyle name="Currency 5 2 2 3 7 2 2" xfId="15153" xr:uid="{E5924696-897B-478A-BAAD-36902F604D45}"/>
    <cellStyle name="Currency 5 2 2 3 7 3" xfId="10935" xr:uid="{777C42F4-2014-4F3E-99B5-9E76E26B04D7}"/>
    <cellStyle name="Currency 5 2 2 3 8" xfId="2723" xr:uid="{00000000-0005-0000-0000-0000F00B0000}"/>
    <cellStyle name="Currency 5 2 2 3 9" xfId="2804" xr:uid="{00000000-0005-0000-0000-0000F10B0000}"/>
    <cellStyle name="Currency 5 2 2 3 9 2" xfId="7028" xr:uid="{00000000-0005-0000-0000-0000F20B0000}"/>
    <cellStyle name="Currency 5 2 2 3 9 2 2" xfId="15470" xr:uid="{70725033-9AAC-4F1D-B641-77B554EA48C0}"/>
    <cellStyle name="Currency 5 2 2 3 9 3" xfId="11252" xr:uid="{19DDC318-6DAE-4152-9B15-96419B7A7271}"/>
    <cellStyle name="Currency 5 2 2 4" xfId="202" xr:uid="{00000000-0005-0000-0000-0000F30B0000}"/>
    <cellStyle name="Currency 5 2 2 4 10" xfId="8871" xr:uid="{8E1DF590-FA83-44F3-ADC9-70E9F1BE820B}"/>
    <cellStyle name="Currency 5 2 2 4 2" xfId="729" xr:uid="{00000000-0005-0000-0000-0000F40B0000}"/>
    <cellStyle name="Currency 5 2 2 4 2 2" xfId="2983" xr:uid="{00000000-0005-0000-0000-0000F50B0000}"/>
    <cellStyle name="Currency 5 2 2 4 2 2 2" xfId="7206" xr:uid="{00000000-0005-0000-0000-0000F60B0000}"/>
    <cellStyle name="Currency 5 2 2 4 2 2 2 2" xfId="15648" xr:uid="{138B31C0-E4B0-4815-8571-3DCEBAE1DF8F}"/>
    <cellStyle name="Currency 5 2 2 4 2 2 3" xfId="11430" xr:uid="{C21117C5-9EA3-4143-8D34-AD80CFA4C94D}"/>
    <cellStyle name="Currency 5 2 2 4 2 3" xfId="5061" xr:uid="{00000000-0005-0000-0000-0000F70B0000}"/>
    <cellStyle name="Currency 5 2 2 4 2 3 2" xfId="13503" xr:uid="{A92708B0-2221-4272-8701-382977342C49}"/>
    <cellStyle name="Currency 5 2 2 4 2 4" xfId="9285" xr:uid="{822A5C2B-4585-48DF-AF47-F7D6E9F9DC6B}"/>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2 2 2" xfId="16061" xr:uid="{D218C654-3F14-42C6-B422-B1B6BED71DE9}"/>
    <cellStyle name="Currency 5 2 2 4 3 2 3" xfId="11843" xr:uid="{E38FBA9F-E9EA-42AC-8A86-C49314D9C533}"/>
    <cellStyle name="Currency 5 2 2 4 3 3" xfId="5474" xr:uid="{00000000-0005-0000-0000-0000FB0B0000}"/>
    <cellStyle name="Currency 5 2 2 4 3 3 2" xfId="13916" xr:uid="{5F473EFF-5AA6-4ADF-BDBF-D07E49F66BD0}"/>
    <cellStyle name="Currency 5 2 2 4 3 4" xfId="9698" xr:uid="{785C1CAC-15DF-47BA-994C-8F7F7C9F3B35}"/>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2 2 2" xfId="16474" xr:uid="{654B23A9-108C-43DC-B84D-D016627C7852}"/>
    <cellStyle name="Currency 5 2 2 4 4 2 3" xfId="12256" xr:uid="{9876DD83-F3A9-4FB4-B661-EEB1CA37C993}"/>
    <cellStyle name="Currency 5 2 2 4 4 3" xfId="5887" xr:uid="{00000000-0005-0000-0000-0000FF0B0000}"/>
    <cellStyle name="Currency 5 2 2 4 4 3 2" xfId="14329" xr:uid="{0C764702-03E8-4324-8902-6A54270E6133}"/>
    <cellStyle name="Currency 5 2 2 4 4 4" xfId="10111" xr:uid="{797A0D90-050C-4906-A7C8-375C9E56F536}"/>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2 2 2" xfId="16887" xr:uid="{430F3CCE-469F-45ED-BB64-A1AF22958E7E}"/>
    <cellStyle name="Currency 5 2 2 4 5 2 3" xfId="12669" xr:uid="{8B8A0C76-DEF1-4937-9013-80717FA42CEE}"/>
    <cellStyle name="Currency 5 2 2 4 5 3" xfId="6300" xr:uid="{00000000-0005-0000-0000-0000030C0000}"/>
    <cellStyle name="Currency 5 2 2 4 5 3 2" xfId="14742" xr:uid="{3A4C34C6-D00D-4860-8AC9-385A9C69426D}"/>
    <cellStyle name="Currency 5 2 2 4 5 4" xfId="10524" xr:uid="{01B08E1B-0FF0-470C-83D3-F95C1332BBA0}"/>
    <cellStyle name="Currency 5 2 2 4 6" xfId="2428" xr:uid="{00000000-0005-0000-0000-0000040C0000}"/>
    <cellStyle name="Currency 5 2 2 4 6 2" xfId="6713" xr:uid="{00000000-0005-0000-0000-0000050C0000}"/>
    <cellStyle name="Currency 5 2 2 4 6 2 2" xfId="15155" xr:uid="{FBD6AE12-0AC9-4A95-A9AE-9FC433FCBC4E}"/>
    <cellStyle name="Currency 5 2 2 4 6 3" xfId="10937" xr:uid="{EBD37546-73E1-47B5-A322-8C8B516ABDB7}"/>
    <cellStyle name="Currency 5 2 2 4 7" xfId="2725" xr:uid="{00000000-0005-0000-0000-0000060C0000}"/>
    <cellStyle name="Currency 5 2 2 4 8" xfId="2806" xr:uid="{00000000-0005-0000-0000-0000070C0000}"/>
    <cellStyle name="Currency 5 2 2 4 8 2" xfId="7030" xr:uid="{00000000-0005-0000-0000-0000080C0000}"/>
    <cellStyle name="Currency 5 2 2 4 8 2 2" xfId="15472" xr:uid="{4B7DED25-6712-4524-A41E-93F31BBB917D}"/>
    <cellStyle name="Currency 5 2 2 4 8 3" xfId="11254" xr:uid="{162E7B3F-5AA0-4D14-A608-0723789FEE9F}"/>
    <cellStyle name="Currency 5 2 2 4 9" xfId="4647" xr:uid="{00000000-0005-0000-0000-0000090C0000}"/>
    <cellStyle name="Currency 5 2 2 4 9 2" xfId="13089" xr:uid="{8DE8C382-A4D2-4DFE-94D8-FDCFBA3AE5C9}"/>
    <cellStyle name="Currency 5 2 2 5" xfId="203" xr:uid="{00000000-0005-0000-0000-00000A0C0000}"/>
    <cellStyle name="Currency 5 2 2 5 10" xfId="8872" xr:uid="{E9DE1DDA-4A2D-46C7-9147-DAA04A0C40FA}"/>
    <cellStyle name="Currency 5 2 2 5 2" xfId="730" xr:uid="{00000000-0005-0000-0000-00000B0C0000}"/>
    <cellStyle name="Currency 5 2 2 5 2 2" xfId="2984" xr:uid="{00000000-0005-0000-0000-00000C0C0000}"/>
    <cellStyle name="Currency 5 2 2 5 2 2 2" xfId="7207" xr:uid="{00000000-0005-0000-0000-00000D0C0000}"/>
    <cellStyle name="Currency 5 2 2 5 2 2 2 2" xfId="15649" xr:uid="{9ECA30DF-91C7-4C9B-9A73-5F9ECAC2592A}"/>
    <cellStyle name="Currency 5 2 2 5 2 2 3" xfId="11431" xr:uid="{907637C3-A61F-4FA4-B9AE-6DC37386CCF2}"/>
    <cellStyle name="Currency 5 2 2 5 2 3" xfId="5062" xr:uid="{00000000-0005-0000-0000-00000E0C0000}"/>
    <cellStyle name="Currency 5 2 2 5 2 3 2" xfId="13504" xr:uid="{026AF765-0ECA-4643-9F4D-93DE3D901216}"/>
    <cellStyle name="Currency 5 2 2 5 2 4" xfId="9286" xr:uid="{323872C7-0382-41A0-AD3A-B78552E4A565}"/>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2 2 2" xfId="16062" xr:uid="{48B098EB-1A34-45FD-8253-1BF276BACBFA}"/>
    <cellStyle name="Currency 5 2 2 5 3 2 3" xfId="11844" xr:uid="{89B38D6B-968A-4CCF-BA4C-A0A303260AB1}"/>
    <cellStyle name="Currency 5 2 2 5 3 3" xfId="5475" xr:uid="{00000000-0005-0000-0000-0000120C0000}"/>
    <cellStyle name="Currency 5 2 2 5 3 3 2" xfId="13917" xr:uid="{4EF1DD13-E8BA-4921-A1D6-3E6ED20B2E32}"/>
    <cellStyle name="Currency 5 2 2 5 3 4" xfId="9699" xr:uid="{A6160A65-616A-4F2D-9978-1B2A2DC4A155}"/>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2 2 2" xfId="16475" xr:uid="{7F32E6E4-25EB-4275-A61E-C53E8FDC5B49}"/>
    <cellStyle name="Currency 5 2 2 5 4 2 3" xfId="12257" xr:uid="{37903EF4-5949-499F-97D1-5187F997CD8C}"/>
    <cellStyle name="Currency 5 2 2 5 4 3" xfId="5888" xr:uid="{00000000-0005-0000-0000-0000160C0000}"/>
    <cellStyle name="Currency 5 2 2 5 4 3 2" xfId="14330" xr:uid="{ACF33009-693E-4CD8-894C-472810A6F140}"/>
    <cellStyle name="Currency 5 2 2 5 4 4" xfId="10112" xr:uid="{78171800-9533-4DCA-8841-FE712825257A}"/>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2 2 2" xfId="16888" xr:uid="{85C185E0-E6A6-496F-A9BC-0838E9F589DC}"/>
    <cellStyle name="Currency 5 2 2 5 5 2 3" xfId="12670" xr:uid="{311BF935-B944-4CE7-876A-96FC53725B4D}"/>
    <cellStyle name="Currency 5 2 2 5 5 3" xfId="6301" xr:uid="{00000000-0005-0000-0000-00001A0C0000}"/>
    <cellStyle name="Currency 5 2 2 5 5 3 2" xfId="14743" xr:uid="{3966978B-6E18-4BB7-9065-875424D26AFC}"/>
    <cellStyle name="Currency 5 2 2 5 5 4" xfId="10525" xr:uid="{2795AA35-CC99-486B-BB7E-AEE745BFD504}"/>
    <cellStyle name="Currency 5 2 2 5 6" xfId="2429" xr:uid="{00000000-0005-0000-0000-00001B0C0000}"/>
    <cellStyle name="Currency 5 2 2 5 6 2" xfId="6714" xr:uid="{00000000-0005-0000-0000-00001C0C0000}"/>
    <cellStyle name="Currency 5 2 2 5 6 2 2" xfId="15156" xr:uid="{931CBA6C-BA1B-4EA0-B6DE-F35945E091E3}"/>
    <cellStyle name="Currency 5 2 2 5 6 3" xfId="10938" xr:uid="{E76AA550-6B28-40A2-9098-A243FF912B02}"/>
    <cellStyle name="Currency 5 2 2 5 7" xfId="2726" xr:uid="{00000000-0005-0000-0000-00001D0C0000}"/>
    <cellStyle name="Currency 5 2 2 5 8" xfId="2807" xr:uid="{00000000-0005-0000-0000-00001E0C0000}"/>
    <cellStyle name="Currency 5 2 2 5 8 2" xfId="7031" xr:uid="{00000000-0005-0000-0000-00001F0C0000}"/>
    <cellStyle name="Currency 5 2 2 5 8 2 2" xfId="15473" xr:uid="{0E805990-2768-4672-8463-423C7F676EDE}"/>
    <cellStyle name="Currency 5 2 2 5 8 3" xfId="11255" xr:uid="{8626D8D3-65F7-49FD-AB4B-2B006EDB0EBB}"/>
    <cellStyle name="Currency 5 2 2 5 9" xfId="4648" xr:uid="{00000000-0005-0000-0000-0000200C0000}"/>
    <cellStyle name="Currency 5 2 2 5 9 2" xfId="13090" xr:uid="{83014ED6-ABD0-41E2-8905-5F526CBAA5C8}"/>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10 2" xfId="13091" xr:uid="{C3AD8150-AE6E-47D8-99D1-B4F70266F0C7}"/>
    <cellStyle name="Currency 5 2 4 11" xfId="8873" xr:uid="{0A416EC7-58BC-4DC0-B4F1-9539094543D8}"/>
    <cellStyle name="Currency 5 2 4 2" xfId="206" xr:uid="{00000000-0005-0000-0000-0000250C0000}"/>
    <cellStyle name="Currency 5 2 4 2 10" xfId="8874" xr:uid="{498E67EC-31EE-4323-AC00-FEAE4124E33B}"/>
    <cellStyle name="Currency 5 2 4 2 2" xfId="733" xr:uid="{00000000-0005-0000-0000-0000260C0000}"/>
    <cellStyle name="Currency 5 2 4 2 2 2" xfId="2986" xr:uid="{00000000-0005-0000-0000-0000270C0000}"/>
    <cellStyle name="Currency 5 2 4 2 2 2 2" xfId="7209" xr:uid="{00000000-0005-0000-0000-0000280C0000}"/>
    <cellStyle name="Currency 5 2 4 2 2 2 2 2" xfId="15651" xr:uid="{E5CD0B1F-EC7B-420C-938A-F08F683F8F0D}"/>
    <cellStyle name="Currency 5 2 4 2 2 2 3" xfId="11433" xr:uid="{47EF3104-8D4B-45CE-B944-FC346CA1B68D}"/>
    <cellStyle name="Currency 5 2 4 2 2 3" xfId="5064" xr:uid="{00000000-0005-0000-0000-0000290C0000}"/>
    <cellStyle name="Currency 5 2 4 2 2 3 2" xfId="13506" xr:uid="{FABC025A-6953-42D1-BCAE-6E0ABAE01FF3}"/>
    <cellStyle name="Currency 5 2 4 2 2 4" xfId="9288" xr:uid="{F7ADCE88-DF4D-4994-A18F-BF193C854666}"/>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2 2 2" xfId="16064" xr:uid="{B6987FE5-F1D8-4883-997B-AD6A75EDFD5D}"/>
    <cellStyle name="Currency 5 2 4 2 3 2 3" xfId="11846" xr:uid="{C609D3D5-462A-472E-8DFB-90BC6942E640}"/>
    <cellStyle name="Currency 5 2 4 2 3 3" xfId="5477" xr:uid="{00000000-0005-0000-0000-00002D0C0000}"/>
    <cellStyle name="Currency 5 2 4 2 3 3 2" xfId="13919" xr:uid="{82A655DD-7F81-442B-85B4-B2458562A7A1}"/>
    <cellStyle name="Currency 5 2 4 2 3 4" xfId="9701" xr:uid="{27934642-5B61-4967-A40A-AB24E3DD1FD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2 2 2" xfId="16477" xr:uid="{8E7B45A4-87B1-4E01-BD39-C83E3C4D982A}"/>
    <cellStyle name="Currency 5 2 4 2 4 2 3" xfId="12259" xr:uid="{48DA2F5B-7807-428F-AE40-33865C8C5CBD}"/>
    <cellStyle name="Currency 5 2 4 2 4 3" xfId="5890" xr:uid="{00000000-0005-0000-0000-0000310C0000}"/>
    <cellStyle name="Currency 5 2 4 2 4 3 2" xfId="14332" xr:uid="{7DB3DA4E-65B6-4DCA-B966-034F5F26EA60}"/>
    <cellStyle name="Currency 5 2 4 2 4 4" xfId="10114" xr:uid="{E2FB16B1-3233-4067-BC8C-AAAD47A0E9FC}"/>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2 2 2" xfId="16890" xr:uid="{6A7303B4-0D9D-40B5-88A8-E62CCF52E16B}"/>
    <cellStyle name="Currency 5 2 4 2 5 2 3" xfId="12672" xr:uid="{6656D2FE-7DD4-40B7-A1C1-86E00EBCA07E}"/>
    <cellStyle name="Currency 5 2 4 2 5 3" xfId="6303" xr:uid="{00000000-0005-0000-0000-0000350C0000}"/>
    <cellStyle name="Currency 5 2 4 2 5 3 2" xfId="14745" xr:uid="{9395D072-BE8E-4862-9D40-A390A545FBFA}"/>
    <cellStyle name="Currency 5 2 4 2 5 4" xfId="10527" xr:uid="{D9CE39DF-29B1-4CB7-A04F-B58CE46D813E}"/>
    <cellStyle name="Currency 5 2 4 2 6" xfId="2431" xr:uid="{00000000-0005-0000-0000-0000360C0000}"/>
    <cellStyle name="Currency 5 2 4 2 6 2" xfId="6716" xr:uid="{00000000-0005-0000-0000-0000370C0000}"/>
    <cellStyle name="Currency 5 2 4 2 6 2 2" xfId="15158" xr:uid="{D57DF4E3-B215-479A-AF65-C18C13481097}"/>
    <cellStyle name="Currency 5 2 4 2 6 3" xfId="10940" xr:uid="{8CAC0CAF-991B-47A6-A0C2-85108CF245A2}"/>
    <cellStyle name="Currency 5 2 4 2 7" xfId="2728" xr:uid="{00000000-0005-0000-0000-0000380C0000}"/>
    <cellStyle name="Currency 5 2 4 2 8" xfId="2809" xr:uid="{00000000-0005-0000-0000-0000390C0000}"/>
    <cellStyle name="Currency 5 2 4 2 8 2" xfId="7033" xr:uid="{00000000-0005-0000-0000-00003A0C0000}"/>
    <cellStyle name="Currency 5 2 4 2 8 2 2" xfId="15475" xr:uid="{0387C837-1799-4405-BE8A-2978DF0A2EAD}"/>
    <cellStyle name="Currency 5 2 4 2 8 3" xfId="11257" xr:uid="{51DA1092-743A-40FA-B667-39529633BA4C}"/>
    <cellStyle name="Currency 5 2 4 2 9" xfId="4650" xr:uid="{00000000-0005-0000-0000-00003B0C0000}"/>
    <cellStyle name="Currency 5 2 4 2 9 2" xfId="13092" xr:uid="{A9B27F4A-237D-4C25-8D45-A26C06D79559}"/>
    <cellStyle name="Currency 5 2 4 3" xfId="732" xr:uid="{00000000-0005-0000-0000-00003C0C0000}"/>
    <cellStyle name="Currency 5 2 4 3 2" xfId="2985" xr:uid="{00000000-0005-0000-0000-00003D0C0000}"/>
    <cellStyle name="Currency 5 2 4 3 2 2" xfId="7208" xr:uid="{00000000-0005-0000-0000-00003E0C0000}"/>
    <cellStyle name="Currency 5 2 4 3 2 2 2" xfId="15650" xr:uid="{63387506-A143-43F3-B0C1-3555CDAE342C}"/>
    <cellStyle name="Currency 5 2 4 3 2 3" xfId="11432" xr:uid="{39134C57-602D-482E-B417-8725951BDED3}"/>
    <cellStyle name="Currency 5 2 4 3 3" xfId="5063" xr:uid="{00000000-0005-0000-0000-00003F0C0000}"/>
    <cellStyle name="Currency 5 2 4 3 3 2" xfId="13505" xr:uid="{BC405721-915E-4BF2-843D-BE500AB4C465}"/>
    <cellStyle name="Currency 5 2 4 3 4" xfId="9287" xr:uid="{EBC3B70E-BA25-410D-B3A2-4F1EA1F8F263}"/>
    <cellStyle name="Currency 5 2 4 4" xfId="1167" xr:uid="{00000000-0005-0000-0000-0000400C0000}"/>
    <cellStyle name="Currency 5 2 4 4 2" xfId="3398" xr:uid="{00000000-0005-0000-0000-0000410C0000}"/>
    <cellStyle name="Currency 5 2 4 4 2 2" xfId="7621" xr:uid="{00000000-0005-0000-0000-0000420C0000}"/>
    <cellStyle name="Currency 5 2 4 4 2 2 2" xfId="16063" xr:uid="{1B13412C-B6CE-4FC9-B599-48DD736C3CAE}"/>
    <cellStyle name="Currency 5 2 4 4 2 3" xfId="11845" xr:uid="{F40CD0D4-A728-4A0B-8CC6-5BF35D6FA6A4}"/>
    <cellStyle name="Currency 5 2 4 4 3" xfId="5476" xr:uid="{00000000-0005-0000-0000-0000430C0000}"/>
    <cellStyle name="Currency 5 2 4 4 3 2" xfId="13918" xr:uid="{E6B45C49-D070-4A58-B8EC-C295B619130C}"/>
    <cellStyle name="Currency 5 2 4 4 4" xfId="9700" xr:uid="{3F0E4B9D-D71F-45DE-8A80-BF6656090FBC}"/>
    <cellStyle name="Currency 5 2 4 5" xfId="1581" xr:uid="{00000000-0005-0000-0000-0000440C0000}"/>
    <cellStyle name="Currency 5 2 4 5 2" xfId="3811" xr:uid="{00000000-0005-0000-0000-0000450C0000}"/>
    <cellStyle name="Currency 5 2 4 5 2 2" xfId="8034" xr:uid="{00000000-0005-0000-0000-0000460C0000}"/>
    <cellStyle name="Currency 5 2 4 5 2 2 2" xfId="16476" xr:uid="{D86FBE6F-6C59-4FF2-8C2F-F72FDCDF8EFC}"/>
    <cellStyle name="Currency 5 2 4 5 2 3" xfId="12258" xr:uid="{553BC8C0-DCB7-4579-9FBC-59ADB88CB3A1}"/>
    <cellStyle name="Currency 5 2 4 5 3" xfId="5889" xr:uid="{00000000-0005-0000-0000-0000470C0000}"/>
    <cellStyle name="Currency 5 2 4 5 3 2" xfId="14331" xr:uid="{F4002893-6ECF-422F-B47A-634E024018DC}"/>
    <cellStyle name="Currency 5 2 4 5 4" xfId="10113" xr:uid="{BA96F5E4-97AB-4FBC-9DA4-686A832D618E}"/>
    <cellStyle name="Currency 5 2 4 6" xfId="1995" xr:uid="{00000000-0005-0000-0000-0000480C0000}"/>
    <cellStyle name="Currency 5 2 4 6 2" xfId="4224" xr:uid="{00000000-0005-0000-0000-0000490C0000}"/>
    <cellStyle name="Currency 5 2 4 6 2 2" xfId="8447" xr:uid="{00000000-0005-0000-0000-00004A0C0000}"/>
    <cellStyle name="Currency 5 2 4 6 2 2 2" xfId="16889" xr:uid="{18F2514D-B3D5-4216-886B-5F4988994C7A}"/>
    <cellStyle name="Currency 5 2 4 6 2 3" xfId="12671" xr:uid="{E8F0E5C6-0B3C-4C57-9C84-F3E66B5B465D}"/>
    <cellStyle name="Currency 5 2 4 6 3" xfId="6302" xr:uid="{00000000-0005-0000-0000-00004B0C0000}"/>
    <cellStyle name="Currency 5 2 4 6 3 2" xfId="14744" xr:uid="{E3CC30DD-5AB5-496B-9977-7C208AE708E0}"/>
    <cellStyle name="Currency 5 2 4 6 4" xfId="10526" xr:uid="{DB92CDCC-433D-47CA-B6BA-FD795A6FB740}"/>
    <cellStyle name="Currency 5 2 4 7" xfId="2430" xr:uid="{00000000-0005-0000-0000-00004C0C0000}"/>
    <cellStyle name="Currency 5 2 4 7 2" xfId="6715" xr:uid="{00000000-0005-0000-0000-00004D0C0000}"/>
    <cellStyle name="Currency 5 2 4 7 2 2" xfId="15157" xr:uid="{80284C05-52B5-48B9-AEBB-637AAE94EBC4}"/>
    <cellStyle name="Currency 5 2 4 7 3" xfId="10939" xr:uid="{02127DC3-4A61-4880-9F8B-BE9630A705C3}"/>
    <cellStyle name="Currency 5 2 4 8" xfId="2727" xr:uid="{00000000-0005-0000-0000-00004E0C0000}"/>
    <cellStyle name="Currency 5 2 4 9" xfId="2808" xr:uid="{00000000-0005-0000-0000-00004F0C0000}"/>
    <cellStyle name="Currency 5 2 4 9 2" xfId="7032" xr:uid="{00000000-0005-0000-0000-0000500C0000}"/>
    <cellStyle name="Currency 5 2 4 9 2 2" xfId="15474" xr:uid="{3A85620B-6441-40D9-94AC-D7A1DD8FA862}"/>
    <cellStyle name="Currency 5 2 4 9 3" xfId="11256" xr:uid="{6A0EBA7C-2F71-411A-B7B1-092625E8300B}"/>
    <cellStyle name="Currency 5 2 5" xfId="207" xr:uid="{00000000-0005-0000-0000-0000510C0000}"/>
    <cellStyle name="Currency 5 2 5 10" xfId="8875" xr:uid="{FFE7AF61-5FCE-4E28-BEFA-AD7D358F16B6}"/>
    <cellStyle name="Currency 5 2 5 2" xfId="734" xr:uid="{00000000-0005-0000-0000-0000520C0000}"/>
    <cellStyle name="Currency 5 2 5 2 2" xfId="2987" xr:uid="{00000000-0005-0000-0000-0000530C0000}"/>
    <cellStyle name="Currency 5 2 5 2 2 2" xfId="7210" xr:uid="{00000000-0005-0000-0000-0000540C0000}"/>
    <cellStyle name="Currency 5 2 5 2 2 2 2" xfId="15652" xr:uid="{8EF961D0-2746-419A-B71B-31DAD86D0DBE}"/>
    <cellStyle name="Currency 5 2 5 2 2 3" xfId="11434" xr:uid="{9C936132-E0F7-4C94-96CD-C8E794745515}"/>
    <cellStyle name="Currency 5 2 5 2 3" xfId="5065" xr:uid="{00000000-0005-0000-0000-0000550C0000}"/>
    <cellStyle name="Currency 5 2 5 2 3 2" xfId="13507" xr:uid="{3C7EDAF5-3D8A-4520-9F93-8DF5D6D82677}"/>
    <cellStyle name="Currency 5 2 5 2 4" xfId="9289" xr:uid="{4C2B3606-2002-4701-ADF9-1BF0479648B4}"/>
    <cellStyle name="Currency 5 2 5 3" xfId="1169" xr:uid="{00000000-0005-0000-0000-0000560C0000}"/>
    <cellStyle name="Currency 5 2 5 3 2" xfId="3400" xr:uid="{00000000-0005-0000-0000-0000570C0000}"/>
    <cellStyle name="Currency 5 2 5 3 2 2" xfId="7623" xr:uid="{00000000-0005-0000-0000-0000580C0000}"/>
    <cellStyle name="Currency 5 2 5 3 2 2 2" xfId="16065" xr:uid="{A6F32B8A-2381-4D03-BA75-630F648CF7E1}"/>
    <cellStyle name="Currency 5 2 5 3 2 3" xfId="11847" xr:uid="{D5A678DB-8AC1-4064-9559-44F3A734583B}"/>
    <cellStyle name="Currency 5 2 5 3 3" xfId="5478" xr:uid="{00000000-0005-0000-0000-0000590C0000}"/>
    <cellStyle name="Currency 5 2 5 3 3 2" xfId="13920" xr:uid="{653A5024-9E56-4FCB-9FD7-1E1B6E37C06D}"/>
    <cellStyle name="Currency 5 2 5 3 4" xfId="9702" xr:uid="{34F9A448-5EDB-4A85-BF07-F9A0C208A80C}"/>
    <cellStyle name="Currency 5 2 5 4" xfId="1583" xr:uid="{00000000-0005-0000-0000-00005A0C0000}"/>
    <cellStyle name="Currency 5 2 5 4 2" xfId="3813" xr:uid="{00000000-0005-0000-0000-00005B0C0000}"/>
    <cellStyle name="Currency 5 2 5 4 2 2" xfId="8036" xr:uid="{00000000-0005-0000-0000-00005C0C0000}"/>
    <cellStyle name="Currency 5 2 5 4 2 2 2" xfId="16478" xr:uid="{1101995F-739E-4B28-AD3A-C29749152075}"/>
    <cellStyle name="Currency 5 2 5 4 2 3" xfId="12260" xr:uid="{E705975C-635D-457F-A0E8-63F4C8ED7E3B}"/>
    <cellStyle name="Currency 5 2 5 4 3" xfId="5891" xr:uid="{00000000-0005-0000-0000-00005D0C0000}"/>
    <cellStyle name="Currency 5 2 5 4 3 2" xfId="14333" xr:uid="{F9B0E1F3-74D5-428E-847A-7C9819E638C6}"/>
    <cellStyle name="Currency 5 2 5 4 4" xfId="10115" xr:uid="{F86D97F5-0634-4110-8D0B-80B918FC16C6}"/>
    <cellStyle name="Currency 5 2 5 5" xfId="1997" xr:uid="{00000000-0005-0000-0000-00005E0C0000}"/>
    <cellStyle name="Currency 5 2 5 5 2" xfId="4226" xr:uid="{00000000-0005-0000-0000-00005F0C0000}"/>
    <cellStyle name="Currency 5 2 5 5 2 2" xfId="8449" xr:uid="{00000000-0005-0000-0000-0000600C0000}"/>
    <cellStyle name="Currency 5 2 5 5 2 2 2" xfId="16891" xr:uid="{C9F09B0B-9C36-46FF-AD46-1EA01F05E9AD}"/>
    <cellStyle name="Currency 5 2 5 5 2 3" xfId="12673" xr:uid="{B7BFBCBF-72EA-4FD3-9CB5-8214197A2665}"/>
    <cellStyle name="Currency 5 2 5 5 3" xfId="6304" xr:uid="{00000000-0005-0000-0000-0000610C0000}"/>
    <cellStyle name="Currency 5 2 5 5 3 2" xfId="14746" xr:uid="{23CD1A3A-D021-40FB-BFA7-DA46E521D4CA}"/>
    <cellStyle name="Currency 5 2 5 5 4" xfId="10528" xr:uid="{D7767ECA-4013-4146-BFEA-EA911689EA98}"/>
    <cellStyle name="Currency 5 2 5 6" xfId="2432" xr:uid="{00000000-0005-0000-0000-0000620C0000}"/>
    <cellStyle name="Currency 5 2 5 6 2" xfId="6717" xr:uid="{00000000-0005-0000-0000-0000630C0000}"/>
    <cellStyle name="Currency 5 2 5 6 2 2" xfId="15159" xr:uid="{390248DB-B202-4919-9280-2B6DC50879E0}"/>
    <cellStyle name="Currency 5 2 5 6 3" xfId="10941" xr:uid="{B5AD2D8C-D2F1-4B8A-AE3D-A89016B292B0}"/>
    <cellStyle name="Currency 5 2 5 7" xfId="2729" xr:uid="{00000000-0005-0000-0000-0000640C0000}"/>
    <cellStyle name="Currency 5 2 5 8" xfId="2810" xr:uid="{00000000-0005-0000-0000-0000650C0000}"/>
    <cellStyle name="Currency 5 2 5 8 2" xfId="7034" xr:uid="{00000000-0005-0000-0000-0000660C0000}"/>
    <cellStyle name="Currency 5 2 5 8 2 2" xfId="15476" xr:uid="{549BFE3C-3BEC-49DE-A640-90F8C65D81DB}"/>
    <cellStyle name="Currency 5 2 5 8 3" xfId="11258" xr:uid="{27CD47BE-8A8B-46F6-B762-E6575C32D16E}"/>
    <cellStyle name="Currency 5 2 5 9" xfId="4651" xr:uid="{00000000-0005-0000-0000-0000670C0000}"/>
    <cellStyle name="Currency 5 2 5 9 2" xfId="13093" xr:uid="{8AA14287-B547-405A-99B1-E62D27FB19F1}"/>
    <cellStyle name="Currency 5 2 6" xfId="208" xr:uid="{00000000-0005-0000-0000-0000680C0000}"/>
    <cellStyle name="Currency 5 2 6 10" xfId="8876" xr:uid="{021B2A22-6F2D-4EBB-98E5-1283E808D33C}"/>
    <cellStyle name="Currency 5 2 6 2" xfId="735" xr:uid="{00000000-0005-0000-0000-0000690C0000}"/>
    <cellStyle name="Currency 5 2 6 2 2" xfId="2988" xr:uid="{00000000-0005-0000-0000-00006A0C0000}"/>
    <cellStyle name="Currency 5 2 6 2 2 2" xfId="7211" xr:uid="{00000000-0005-0000-0000-00006B0C0000}"/>
    <cellStyle name="Currency 5 2 6 2 2 2 2" xfId="15653" xr:uid="{4596F83B-CAEC-4989-914D-A8B06DA3B09A}"/>
    <cellStyle name="Currency 5 2 6 2 2 3" xfId="11435" xr:uid="{79C9541F-274A-4F95-9B3E-C5522B84AF49}"/>
    <cellStyle name="Currency 5 2 6 2 3" xfId="5066" xr:uid="{00000000-0005-0000-0000-00006C0C0000}"/>
    <cellStyle name="Currency 5 2 6 2 3 2" xfId="13508" xr:uid="{88A6810E-3900-474C-B190-080BA546F2BA}"/>
    <cellStyle name="Currency 5 2 6 2 4" xfId="9290" xr:uid="{F0AA6E61-BA84-46B2-8F44-F3F09124A3D8}"/>
    <cellStyle name="Currency 5 2 6 3" xfId="1170" xr:uid="{00000000-0005-0000-0000-00006D0C0000}"/>
    <cellStyle name="Currency 5 2 6 3 2" xfId="3401" xr:uid="{00000000-0005-0000-0000-00006E0C0000}"/>
    <cellStyle name="Currency 5 2 6 3 2 2" xfId="7624" xr:uid="{00000000-0005-0000-0000-00006F0C0000}"/>
    <cellStyle name="Currency 5 2 6 3 2 2 2" xfId="16066" xr:uid="{FEC98687-AA21-435B-8E42-39D8AF719F9F}"/>
    <cellStyle name="Currency 5 2 6 3 2 3" xfId="11848" xr:uid="{0A17475C-9E67-4795-8D82-98721BA0947E}"/>
    <cellStyle name="Currency 5 2 6 3 3" xfId="5479" xr:uid="{00000000-0005-0000-0000-0000700C0000}"/>
    <cellStyle name="Currency 5 2 6 3 3 2" xfId="13921" xr:uid="{E239ED23-59F2-401D-8E6C-57157C546A80}"/>
    <cellStyle name="Currency 5 2 6 3 4" xfId="9703" xr:uid="{26D412AF-B298-41D7-B02F-95E1D3F127B6}"/>
    <cellStyle name="Currency 5 2 6 4" xfId="1584" xr:uid="{00000000-0005-0000-0000-0000710C0000}"/>
    <cellStyle name="Currency 5 2 6 4 2" xfId="3814" xr:uid="{00000000-0005-0000-0000-0000720C0000}"/>
    <cellStyle name="Currency 5 2 6 4 2 2" xfId="8037" xr:uid="{00000000-0005-0000-0000-0000730C0000}"/>
    <cellStyle name="Currency 5 2 6 4 2 2 2" xfId="16479" xr:uid="{C07F466E-E820-48A3-875A-387BED36A420}"/>
    <cellStyle name="Currency 5 2 6 4 2 3" xfId="12261" xr:uid="{7D596573-44EE-4693-AB03-88E9FF010F27}"/>
    <cellStyle name="Currency 5 2 6 4 3" xfId="5892" xr:uid="{00000000-0005-0000-0000-0000740C0000}"/>
    <cellStyle name="Currency 5 2 6 4 3 2" xfId="14334" xr:uid="{DA9834A1-8FBC-4903-AED6-A0E9E575621F}"/>
    <cellStyle name="Currency 5 2 6 4 4" xfId="10116" xr:uid="{4621EF72-64EA-4CE9-ACF7-4EF71FFBFC64}"/>
    <cellStyle name="Currency 5 2 6 5" xfId="1998" xr:uid="{00000000-0005-0000-0000-0000750C0000}"/>
    <cellStyle name="Currency 5 2 6 5 2" xfId="4227" xr:uid="{00000000-0005-0000-0000-0000760C0000}"/>
    <cellStyle name="Currency 5 2 6 5 2 2" xfId="8450" xr:uid="{00000000-0005-0000-0000-0000770C0000}"/>
    <cellStyle name="Currency 5 2 6 5 2 2 2" xfId="16892" xr:uid="{591E1141-32B5-4A1A-9732-27C9AB61218F}"/>
    <cellStyle name="Currency 5 2 6 5 2 3" xfId="12674" xr:uid="{3E25DB76-A0EF-4417-A20F-768966FC5DAB}"/>
    <cellStyle name="Currency 5 2 6 5 3" xfId="6305" xr:uid="{00000000-0005-0000-0000-0000780C0000}"/>
    <cellStyle name="Currency 5 2 6 5 3 2" xfId="14747" xr:uid="{7F84DA77-6E47-4E03-8BC4-A924EBB3362F}"/>
    <cellStyle name="Currency 5 2 6 5 4" xfId="10529" xr:uid="{56CE202F-D05C-4366-9E61-33878592EB06}"/>
    <cellStyle name="Currency 5 2 6 6" xfId="2433" xr:uid="{00000000-0005-0000-0000-0000790C0000}"/>
    <cellStyle name="Currency 5 2 6 6 2" xfId="6718" xr:uid="{00000000-0005-0000-0000-00007A0C0000}"/>
    <cellStyle name="Currency 5 2 6 6 2 2" xfId="15160" xr:uid="{669A88F9-CA2D-481A-AFE2-E56FEB688E1D}"/>
    <cellStyle name="Currency 5 2 6 6 3" xfId="10942" xr:uid="{DF90D856-8563-42FD-A20D-7A6F7D5294AD}"/>
    <cellStyle name="Currency 5 2 6 7" xfId="2730" xr:uid="{00000000-0005-0000-0000-00007B0C0000}"/>
    <cellStyle name="Currency 5 2 6 8" xfId="2811" xr:uid="{00000000-0005-0000-0000-00007C0C0000}"/>
    <cellStyle name="Currency 5 2 6 8 2" xfId="7035" xr:uid="{00000000-0005-0000-0000-00007D0C0000}"/>
    <cellStyle name="Currency 5 2 6 8 2 2" xfId="15477" xr:uid="{9A1AF352-2534-448F-BF06-292E7F1003A4}"/>
    <cellStyle name="Currency 5 2 6 8 3" xfId="11259" xr:uid="{DF4BAD1F-9FD5-4141-A90F-D31EEDBD7CF6}"/>
    <cellStyle name="Currency 5 2 6 9" xfId="4652" xr:uid="{00000000-0005-0000-0000-00007E0C0000}"/>
    <cellStyle name="Currency 5 2 6 9 2" xfId="13094" xr:uid="{A9293CF7-DE9E-44AB-9692-BF34BFDA08C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0 2 2" xfId="15478" xr:uid="{4B80F4F4-8E11-436A-BB95-40362A824EC1}"/>
    <cellStyle name="Currency 5 3 2 10 3" xfId="11260" xr:uid="{1C6AB3F5-609E-4DF9-82DF-FA444ED6C0C1}"/>
    <cellStyle name="Currency 5 3 2 11" xfId="4653" xr:uid="{00000000-0005-0000-0000-0000840C0000}"/>
    <cellStyle name="Currency 5 3 2 11 2" xfId="13095" xr:uid="{93C8B82C-9799-49BB-A614-3A13BEC6DDCB}"/>
    <cellStyle name="Currency 5 3 2 12" xfId="8877" xr:uid="{0AC6A9ED-CD31-4E3E-8325-BC09E8BC5039}"/>
    <cellStyle name="Currency 5 3 2 2" xfId="211" xr:uid="{00000000-0005-0000-0000-0000850C0000}"/>
    <cellStyle name="Currency 5 3 2 2 10" xfId="4654" xr:uid="{00000000-0005-0000-0000-0000860C0000}"/>
    <cellStyle name="Currency 5 3 2 2 10 2" xfId="13096" xr:uid="{CAF13C63-77AA-4CEC-879F-1718D6E0E6FC}"/>
    <cellStyle name="Currency 5 3 2 2 11" xfId="8878" xr:uid="{72F490A7-5925-48D5-BA50-03AAD33C9032}"/>
    <cellStyle name="Currency 5 3 2 2 2" xfId="212" xr:uid="{00000000-0005-0000-0000-0000870C0000}"/>
    <cellStyle name="Currency 5 3 2 2 2 10" xfId="8879" xr:uid="{0C5C545A-2384-4F77-8128-5E6361E861EC}"/>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2 2 2" xfId="15656" xr:uid="{F80DD50A-8A55-4AF5-8044-8F921580D75D}"/>
    <cellStyle name="Currency 5 3 2 2 2 2 2 3" xfId="11438" xr:uid="{63D74CBB-4717-4B66-9143-B8A94B1E46E6}"/>
    <cellStyle name="Currency 5 3 2 2 2 2 3" xfId="5069" xr:uid="{00000000-0005-0000-0000-00008B0C0000}"/>
    <cellStyle name="Currency 5 3 2 2 2 2 3 2" xfId="13511" xr:uid="{FA53C0C7-96A6-4609-8B52-E37A09100F35}"/>
    <cellStyle name="Currency 5 3 2 2 2 2 4" xfId="9293" xr:uid="{49490BEC-AAA0-410B-839C-D07F59E759A4}"/>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2 2 2" xfId="16069" xr:uid="{6158F9B1-E513-41D4-B473-B64FDD868DB9}"/>
    <cellStyle name="Currency 5 3 2 2 2 3 2 3" xfId="11851" xr:uid="{FBFB0D1D-6EF5-4138-923A-DA9C96F4CFC4}"/>
    <cellStyle name="Currency 5 3 2 2 2 3 3" xfId="5482" xr:uid="{00000000-0005-0000-0000-00008F0C0000}"/>
    <cellStyle name="Currency 5 3 2 2 2 3 3 2" xfId="13924" xr:uid="{91AE4AAA-05E2-422C-8C8B-B3AFC2CCEA38}"/>
    <cellStyle name="Currency 5 3 2 2 2 3 4" xfId="9706" xr:uid="{E692A929-24C1-4968-AAE4-A61872231EF9}"/>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2 2 2" xfId="16482" xr:uid="{C115EA86-F408-40A8-B90A-C0E1F3F86CDC}"/>
    <cellStyle name="Currency 5 3 2 2 2 4 2 3" xfId="12264" xr:uid="{D19A9A4B-64B7-49BD-9E6F-DF12D9F33285}"/>
    <cellStyle name="Currency 5 3 2 2 2 4 3" xfId="5895" xr:uid="{00000000-0005-0000-0000-0000930C0000}"/>
    <cellStyle name="Currency 5 3 2 2 2 4 3 2" xfId="14337" xr:uid="{8E8B9A6E-AD18-4C11-B905-812CCBFEAFDD}"/>
    <cellStyle name="Currency 5 3 2 2 2 4 4" xfId="10119" xr:uid="{BD839BC7-F0FB-4ECF-B39F-6B431508D14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2 2 2" xfId="16895" xr:uid="{91137E24-ABEC-4EDE-A3A7-CC67830A4CD2}"/>
    <cellStyle name="Currency 5 3 2 2 2 5 2 3" xfId="12677" xr:uid="{0DC742A4-0AA8-48DF-BDE4-1BE50A6683DF}"/>
    <cellStyle name="Currency 5 3 2 2 2 5 3" xfId="6308" xr:uid="{00000000-0005-0000-0000-0000970C0000}"/>
    <cellStyle name="Currency 5 3 2 2 2 5 3 2" xfId="14750" xr:uid="{E0793213-6372-4220-A1AB-FDB130D6FD93}"/>
    <cellStyle name="Currency 5 3 2 2 2 5 4" xfId="10532" xr:uid="{2EF4776E-E460-412B-ABD7-29C91D4CBC3A}"/>
    <cellStyle name="Currency 5 3 2 2 2 6" xfId="2436" xr:uid="{00000000-0005-0000-0000-0000980C0000}"/>
    <cellStyle name="Currency 5 3 2 2 2 6 2" xfId="6721" xr:uid="{00000000-0005-0000-0000-0000990C0000}"/>
    <cellStyle name="Currency 5 3 2 2 2 6 2 2" xfId="15163" xr:uid="{0A73B0AC-3054-4C49-9E85-34B5CB686921}"/>
    <cellStyle name="Currency 5 3 2 2 2 6 3" xfId="10945" xr:uid="{2DE66FE1-9E5E-491F-85D8-4D16B782125F}"/>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8 2 2" xfId="15480" xr:uid="{2F7A5934-38DC-49F2-A8CD-EB3DD8E95CC5}"/>
    <cellStyle name="Currency 5 3 2 2 2 8 3" xfId="11262" xr:uid="{4741B166-56DE-4514-A7D7-81C26146E8CF}"/>
    <cellStyle name="Currency 5 3 2 2 2 9" xfId="4655" xr:uid="{00000000-0005-0000-0000-00009D0C0000}"/>
    <cellStyle name="Currency 5 3 2 2 2 9 2" xfId="13097" xr:uid="{CC705452-B3A9-49C3-B981-7DC9D8A7BD2E}"/>
    <cellStyle name="Currency 5 3 2 2 3" xfId="737" xr:uid="{00000000-0005-0000-0000-00009E0C0000}"/>
    <cellStyle name="Currency 5 3 2 2 3 2" xfId="2990" xr:uid="{00000000-0005-0000-0000-00009F0C0000}"/>
    <cellStyle name="Currency 5 3 2 2 3 2 2" xfId="7213" xr:uid="{00000000-0005-0000-0000-0000A00C0000}"/>
    <cellStyle name="Currency 5 3 2 2 3 2 2 2" xfId="15655" xr:uid="{3295DE67-7A86-4D56-B1B2-C1A247C6F324}"/>
    <cellStyle name="Currency 5 3 2 2 3 2 3" xfId="11437" xr:uid="{E2FF8D29-90F5-4586-BA23-143352A956F6}"/>
    <cellStyle name="Currency 5 3 2 2 3 3" xfId="5068" xr:uid="{00000000-0005-0000-0000-0000A10C0000}"/>
    <cellStyle name="Currency 5 3 2 2 3 3 2" xfId="13510" xr:uid="{2045E16D-68FE-4322-8524-F109CF7882B0}"/>
    <cellStyle name="Currency 5 3 2 2 3 4" xfId="9292" xr:uid="{990E6CFE-B003-4DB7-A24B-6722B12DB05D}"/>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2 2 2" xfId="16068" xr:uid="{0F425A98-41ED-4F1B-AE87-F91562610CE0}"/>
    <cellStyle name="Currency 5 3 2 2 4 2 3" xfId="11850" xr:uid="{78605B08-58DA-4F1B-BD06-93ED57629EAD}"/>
    <cellStyle name="Currency 5 3 2 2 4 3" xfId="5481" xr:uid="{00000000-0005-0000-0000-0000A50C0000}"/>
    <cellStyle name="Currency 5 3 2 2 4 3 2" xfId="13923" xr:uid="{4472C880-3F27-4ECD-8A27-49F14DBB53FF}"/>
    <cellStyle name="Currency 5 3 2 2 4 4" xfId="9705" xr:uid="{D85FA0E2-B59F-4673-AE3C-D173873FE84F}"/>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2 2 2" xfId="16481" xr:uid="{F6F69C6C-23CF-4451-9C39-0EA18319E24C}"/>
    <cellStyle name="Currency 5 3 2 2 5 2 3" xfId="12263" xr:uid="{D9BE9630-BD90-4AC9-8B82-9254209F90BF}"/>
    <cellStyle name="Currency 5 3 2 2 5 3" xfId="5894" xr:uid="{00000000-0005-0000-0000-0000A90C0000}"/>
    <cellStyle name="Currency 5 3 2 2 5 3 2" xfId="14336" xr:uid="{AE3B2302-EC15-4077-8ADD-7DC79EAB3ACD}"/>
    <cellStyle name="Currency 5 3 2 2 5 4" xfId="10118" xr:uid="{63F14DFC-7339-4CF7-83D5-E3700B37B383}"/>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2 2 2" xfId="16894" xr:uid="{82BCCD61-B643-4BD1-A406-2D64EA2C4CD7}"/>
    <cellStyle name="Currency 5 3 2 2 6 2 3" xfId="12676" xr:uid="{11DEAEA1-56F4-4849-92B0-73F144B3CA76}"/>
    <cellStyle name="Currency 5 3 2 2 6 3" xfId="6307" xr:uid="{00000000-0005-0000-0000-0000AD0C0000}"/>
    <cellStyle name="Currency 5 3 2 2 6 3 2" xfId="14749" xr:uid="{4B7BA64C-EDED-4EAA-8746-4D31CF2A7EBA}"/>
    <cellStyle name="Currency 5 3 2 2 6 4" xfId="10531" xr:uid="{9102660B-3712-421B-B29F-AB03916698FC}"/>
    <cellStyle name="Currency 5 3 2 2 7" xfId="2435" xr:uid="{00000000-0005-0000-0000-0000AE0C0000}"/>
    <cellStyle name="Currency 5 3 2 2 7 2" xfId="6720" xr:uid="{00000000-0005-0000-0000-0000AF0C0000}"/>
    <cellStyle name="Currency 5 3 2 2 7 2 2" xfId="15162" xr:uid="{AFD49C8A-E531-40CD-9C65-F327003ECF07}"/>
    <cellStyle name="Currency 5 3 2 2 7 3" xfId="10944" xr:uid="{AB4C3BDD-46AF-43C2-A63A-CAD21D6C1D0D}"/>
    <cellStyle name="Currency 5 3 2 2 8" xfId="2732" xr:uid="{00000000-0005-0000-0000-0000B00C0000}"/>
    <cellStyle name="Currency 5 3 2 2 9" xfId="2813" xr:uid="{00000000-0005-0000-0000-0000B10C0000}"/>
    <cellStyle name="Currency 5 3 2 2 9 2" xfId="7037" xr:uid="{00000000-0005-0000-0000-0000B20C0000}"/>
    <cellStyle name="Currency 5 3 2 2 9 2 2" xfId="15479" xr:uid="{F6084F06-EF6F-46EB-933F-ADAF109C11F8}"/>
    <cellStyle name="Currency 5 3 2 2 9 3" xfId="11261" xr:uid="{9D1D620D-DA3C-427E-B92F-4C043FFF8F6F}"/>
    <cellStyle name="Currency 5 3 2 3" xfId="213" xr:uid="{00000000-0005-0000-0000-0000B30C0000}"/>
    <cellStyle name="Currency 5 3 2 3 10" xfId="8880" xr:uid="{243108F3-6983-48AC-806E-44935ECA840D}"/>
    <cellStyle name="Currency 5 3 2 3 2" xfId="739" xr:uid="{00000000-0005-0000-0000-0000B40C0000}"/>
    <cellStyle name="Currency 5 3 2 3 2 2" xfId="2992" xr:uid="{00000000-0005-0000-0000-0000B50C0000}"/>
    <cellStyle name="Currency 5 3 2 3 2 2 2" xfId="7215" xr:uid="{00000000-0005-0000-0000-0000B60C0000}"/>
    <cellStyle name="Currency 5 3 2 3 2 2 2 2" xfId="15657" xr:uid="{CB2768A5-95FD-4532-9BA5-2CD68A1DDD3B}"/>
    <cellStyle name="Currency 5 3 2 3 2 2 3" xfId="11439" xr:uid="{01E9358A-936B-4DA6-85D7-3E25E5BC99E6}"/>
    <cellStyle name="Currency 5 3 2 3 2 3" xfId="5070" xr:uid="{00000000-0005-0000-0000-0000B70C0000}"/>
    <cellStyle name="Currency 5 3 2 3 2 3 2" xfId="13512" xr:uid="{2F9C6D40-4A6C-48E7-A382-A7B7B121E0CE}"/>
    <cellStyle name="Currency 5 3 2 3 2 4" xfId="9294" xr:uid="{F248C99C-42A2-4808-8C9A-CF8301189CDB}"/>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2 2 2" xfId="16070" xr:uid="{95E45276-F92B-4562-91E1-AB02A19395EF}"/>
    <cellStyle name="Currency 5 3 2 3 3 2 3" xfId="11852" xr:uid="{D68E3139-27EE-4605-B44B-6AA37B1FFCA1}"/>
    <cellStyle name="Currency 5 3 2 3 3 3" xfId="5483" xr:uid="{00000000-0005-0000-0000-0000BB0C0000}"/>
    <cellStyle name="Currency 5 3 2 3 3 3 2" xfId="13925" xr:uid="{122BB094-979D-4388-9BD6-2CEB1790AB08}"/>
    <cellStyle name="Currency 5 3 2 3 3 4" xfId="9707" xr:uid="{B4F2A953-2493-4960-9030-A9EFF4FBE3C2}"/>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2 2 2" xfId="16483" xr:uid="{9957FAD1-0B9B-4C74-B63C-4E95C56CAB73}"/>
    <cellStyle name="Currency 5 3 2 3 4 2 3" xfId="12265" xr:uid="{AFE13C22-5B05-4AA2-B34A-A8EB30905A8B}"/>
    <cellStyle name="Currency 5 3 2 3 4 3" xfId="5896" xr:uid="{00000000-0005-0000-0000-0000BF0C0000}"/>
    <cellStyle name="Currency 5 3 2 3 4 3 2" xfId="14338" xr:uid="{12CA1811-B381-4D66-B919-6909D2314099}"/>
    <cellStyle name="Currency 5 3 2 3 4 4" xfId="10120" xr:uid="{112BDA05-50B6-46A9-9052-FC5971219B94}"/>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2 2 2" xfId="16896" xr:uid="{94857EA4-28DD-4B12-86D7-AF7FF85E0DC2}"/>
    <cellStyle name="Currency 5 3 2 3 5 2 3" xfId="12678" xr:uid="{0CF7A97A-321E-48EF-8147-213D9BB6DA5C}"/>
    <cellStyle name="Currency 5 3 2 3 5 3" xfId="6309" xr:uid="{00000000-0005-0000-0000-0000C30C0000}"/>
    <cellStyle name="Currency 5 3 2 3 5 3 2" xfId="14751" xr:uid="{D8CE1FB8-E845-478A-9139-C62FC94148FD}"/>
    <cellStyle name="Currency 5 3 2 3 5 4" xfId="10533" xr:uid="{3551D239-266E-45D8-8B5A-DAE749A48B33}"/>
    <cellStyle name="Currency 5 3 2 3 6" xfId="2437" xr:uid="{00000000-0005-0000-0000-0000C40C0000}"/>
    <cellStyle name="Currency 5 3 2 3 6 2" xfId="6722" xr:uid="{00000000-0005-0000-0000-0000C50C0000}"/>
    <cellStyle name="Currency 5 3 2 3 6 2 2" xfId="15164" xr:uid="{71E467DE-D856-445B-BD16-EBF0713BD24A}"/>
    <cellStyle name="Currency 5 3 2 3 6 3" xfId="10946" xr:uid="{9B4C66A8-7945-4FD7-99A0-556C64CF871E}"/>
    <cellStyle name="Currency 5 3 2 3 7" xfId="2734" xr:uid="{00000000-0005-0000-0000-0000C60C0000}"/>
    <cellStyle name="Currency 5 3 2 3 8" xfId="2815" xr:uid="{00000000-0005-0000-0000-0000C70C0000}"/>
    <cellStyle name="Currency 5 3 2 3 8 2" xfId="7039" xr:uid="{00000000-0005-0000-0000-0000C80C0000}"/>
    <cellStyle name="Currency 5 3 2 3 8 2 2" xfId="15481" xr:uid="{F284D879-6464-4D37-B4F6-49F52567F22F}"/>
    <cellStyle name="Currency 5 3 2 3 8 3" xfId="11263" xr:uid="{F13ABCF1-0C4C-48BB-A3A5-94783FFF3B47}"/>
    <cellStyle name="Currency 5 3 2 3 9" xfId="4656" xr:uid="{00000000-0005-0000-0000-0000C90C0000}"/>
    <cellStyle name="Currency 5 3 2 3 9 2" xfId="13098" xr:uid="{DC3ED9CD-D164-4DEC-BE42-92322A1D42DB}"/>
    <cellStyle name="Currency 5 3 2 4" xfId="736" xr:uid="{00000000-0005-0000-0000-0000CA0C0000}"/>
    <cellStyle name="Currency 5 3 2 4 2" xfId="2989" xr:uid="{00000000-0005-0000-0000-0000CB0C0000}"/>
    <cellStyle name="Currency 5 3 2 4 2 2" xfId="7212" xr:uid="{00000000-0005-0000-0000-0000CC0C0000}"/>
    <cellStyle name="Currency 5 3 2 4 2 2 2" xfId="15654" xr:uid="{F01E2FEE-D6E5-4DFA-9E2E-6982EFB3A20D}"/>
    <cellStyle name="Currency 5 3 2 4 2 3" xfId="11436" xr:uid="{5F7FD35E-0BCA-4830-BF94-D1100DED1273}"/>
    <cellStyle name="Currency 5 3 2 4 3" xfId="5067" xr:uid="{00000000-0005-0000-0000-0000CD0C0000}"/>
    <cellStyle name="Currency 5 3 2 4 3 2" xfId="13509" xr:uid="{594F63CD-FEE5-48D6-B114-6C466AB94014}"/>
    <cellStyle name="Currency 5 3 2 4 4" xfId="9291" xr:uid="{F7D1370C-3823-449F-A7F9-420A4F278DCB}"/>
    <cellStyle name="Currency 5 3 2 5" xfId="1171" xr:uid="{00000000-0005-0000-0000-0000CE0C0000}"/>
    <cellStyle name="Currency 5 3 2 5 2" xfId="3402" xr:uid="{00000000-0005-0000-0000-0000CF0C0000}"/>
    <cellStyle name="Currency 5 3 2 5 2 2" xfId="7625" xr:uid="{00000000-0005-0000-0000-0000D00C0000}"/>
    <cellStyle name="Currency 5 3 2 5 2 2 2" xfId="16067" xr:uid="{D795EEDF-EC88-4585-A7D8-D3C7648C54B8}"/>
    <cellStyle name="Currency 5 3 2 5 2 3" xfId="11849" xr:uid="{574570BD-F19F-4037-A061-67D637D5ACC2}"/>
    <cellStyle name="Currency 5 3 2 5 3" xfId="5480" xr:uid="{00000000-0005-0000-0000-0000D10C0000}"/>
    <cellStyle name="Currency 5 3 2 5 3 2" xfId="13922" xr:uid="{1C94811A-28E4-4804-A752-E75B2B51488C}"/>
    <cellStyle name="Currency 5 3 2 5 4" xfId="9704" xr:uid="{EDC48527-BAFB-4610-B693-140D9390FFCE}"/>
    <cellStyle name="Currency 5 3 2 6" xfId="1585" xr:uid="{00000000-0005-0000-0000-0000D20C0000}"/>
    <cellStyle name="Currency 5 3 2 6 2" xfId="3815" xr:uid="{00000000-0005-0000-0000-0000D30C0000}"/>
    <cellStyle name="Currency 5 3 2 6 2 2" xfId="8038" xr:uid="{00000000-0005-0000-0000-0000D40C0000}"/>
    <cellStyle name="Currency 5 3 2 6 2 2 2" xfId="16480" xr:uid="{D50CB588-0AB5-4D6F-913A-991535D246C3}"/>
    <cellStyle name="Currency 5 3 2 6 2 3" xfId="12262" xr:uid="{B061CD32-2A80-4373-954D-37B8944426B9}"/>
    <cellStyle name="Currency 5 3 2 6 3" xfId="5893" xr:uid="{00000000-0005-0000-0000-0000D50C0000}"/>
    <cellStyle name="Currency 5 3 2 6 3 2" xfId="14335" xr:uid="{2F422D30-212C-419C-AD27-2458E6728876}"/>
    <cellStyle name="Currency 5 3 2 6 4" xfId="10117" xr:uid="{3D39A2F8-CFC9-4437-9608-C69E2A765DE7}"/>
    <cellStyle name="Currency 5 3 2 7" xfId="1999" xr:uid="{00000000-0005-0000-0000-0000D60C0000}"/>
    <cellStyle name="Currency 5 3 2 7 2" xfId="4228" xr:uid="{00000000-0005-0000-0000-0000D70C0000}"/>
    <cellStyle name="Currency 5 3 2 7 2 2" xfId="8451" xr:uid="{00000000-0005-0000-0000-0000D80C0000}"/>
    <cellStyle name="Currency 5 3 2 7 2 2 2" xfId="16893" xr:uid="{3AB561E8-29A9-47C8-A909-A9B94F9ACAD1}"/>
    <cellStyle name="Currency 5 3 2 7 2 3" xfId="12675" xr:uid="{9C7C9440-8A43-4445-B55E-CE1C7E2190FF}"/>
    <cellStyle name="Currency 5 3 2 7 3" xfId="6306" xr:uid="{00000000-0005-0000-0000-0000D90C0000}"/>
    <cellStyle name="Currency 5 3 2 7 3 2" xfId="14748" xr:uid="{EDB3095B-7EFF-4CED-BB8B-48D544D3531F}"/>
    <cellStyle name="Currency 5 3 2 7 4" xfId="10530" xr:uid="{13A73585-C84B-4518-B4CB-41294DEE8BC2}"/>
    <cellStyle name="Currency 5 3 2 8" xfId="2434" xr:uid="{00000000-0005-0000-0000-0000DA0C0000}"/>
    <cellStyle name="Currency 5 3 2 8 2" xfId="6719" xr:uid="{00000000-0005-0000-0000-0000DB0C0000}"/>
    <cellStyle name="Currency 5 3 2 8 2 2" xfId="15161" xr:uid="{2348F15D-C7C9-4241-A5F3-F63EB8D792FC}"/>
    <cellStyle name="Currency 5 3 2 8 3" xfId="10943" xr:uid="{9FAB7B0C-49B7-4493-8BE8-6FE9DA04620F}"/>
    <cellStyle name="Currency 5 3 2 9" xfId="2731" xr:uid="{00000000-0005-0000-0000-0000DC0C0000}"/>
    <cellStyle name="Currency 5 3 3" xfId="214" xr:uid="{00000000-0005-0000-0000-0000DD0C0000}"/>
    <cellStyle name="Currency 5 3 3 10" xfId="4657" xr:uid="{00000000-0005-0000-0000-0000DE0C0000}"/>
    <cellStyle name="Currency 5 3 3 10 2" xfId="13099" xr:uid="{A6BE2334-69B5-45FA-9CA9-AA5527D28B80}"/>
    <cellStyle name="Currency 5 3 3 11" xfId="8881" xr:uid="{25B3A2B0-83C3-4537-9341-A4A78A896BF2}"/>
    <cellStyle name="Currency 5 3 3 2" xfId="215" xr:uid="{00000000-0005-0000-0000-0000DF0C0000}"/>
    <cellStyle name="Currency 5 3 3 2 10" xfId="8882" xr:uid="{589FB77B-EB63-4AD3-B455-539EECF445AF}"/>
    <cellStyle name="Currency 5 3 3 2 2" xfId="741" xr:uid="{00000000-0005-0000-0000-0000E00C0000}"/>
    <cellStyle name="Currency 5 3 3 2 2 2" xfId="2994" xr:uid="{00000000-0005-0000-0000-0000E10C0000}"/>
    <cellStyle name="Currency 5 3 3 2 2 2 2" xfId="7217" xr:uid="{00000000-0005-0000-0000-0000E20C0000}"/>
    <cellStyle name="Currency 5 3 3 2 2 2 2 2" xfId="15659" xr:uid="{5B0E3EFC-5F5C-4F98-9894-BCA6CDA502E2}"/>
    <cellStyle name="Currency 5 3 3 2 2 2 3" xfId="11441" xr:uid="{1328550D-4D4E-4AA7-840C-BE04C0DB572F}"/>
    <cellStyle name="Currency 5 3 3 2 2 3" xfId="5072" xr:uid="{00000000-0005-0000-0000-0000E30C0000}"/>
    <cellStyle name="Currency 5 3 3 2 2 3 2" xfId="13514" xr:uid="{B7FE143A-DA64-4DC6-9D96-45574AE20ECE}"/>
    <cellStyle name="Currency 5 3 3 2 2 4" xfId="9296" xr:uid="{BBA98400-ABEF-4B5E-B537-0266449A618B}"/>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2 2 2" xfId="16072" xr:uid="{07F2A7A4-AEF3-45A8-92C5-A9DEB931CCA1}"/>
    <cellStyle name="Currency 5 3 3 2 3 2 3" xfId="11854" xr:uid="{80893563-6FDF-465A-B629-05C7A9C06125}"/>
    <cellStyle name="Currency 5 3 3 2 3 3" xfId="5485" xr:uid="{00000000-0005-0000-0000-0000E70C0000}"/>
    <cellStyle name="Currency 5 3 3 2 3 3 2" xfId="13927" xr:uid="{449AEAFB-B295-4182-8F52-331F0EFC3100}"/>
    <cellStyle name="Currency 5 3 3 2 3 4" xfId="9709" xr:uid="{C4364BC6-CFD4-4CA0-9ADE-5579A2481C24}"/>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2 2 2" xfId="16485" xr:uid="{454992A6-480B-4393-B797-4096C5B14F72}"/>
    <cellStyle name="Currency 5 3 3 2 4 2 3" xfId="12267" xr:uid="{CA88C424-DC40-4EF0-95F4-C4EE1BAD90F0}"/>
    <cellStyle name="Currency 5 3 3 2 4 3" xfId="5898" xr:uid="{00000000-0005-0000-0000-0000EB0C0000}"/>
    <cellStyle name="Currency 5 3 3 2 4 3 2" xfId="14340" xr:uid="{50F66A5F-E3D4-40FA-9E1A-DE4B7C82C262}"/>
    <cellStyle name="Currency 5 3 3 2 4 4" xfId="10122" xr:uid="{24A15ABD-5623-4F1F-9D46-AB0E90F57EFC}"/>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2 2 2" xfId="16898" xr:uid="{A6BE6249-9087-4EBA-8835-DB6D15FDAA5B}"/>
    <cellStyle name="Currency 5 3 3 2 5 2 3" xfId="12680" xr:uid="{22E74A24-FC0A-4605-8303-7148E6CF40C2}"/>
    <cellStyle name="Currency 5 3 3 2 5 3" xfId="6311" xr:uid="{00000000-0005-0000-0000-0000EF0C0000}"/>
    <cellStyle name="Currency 5 3 3 2 5 3 2" xfId="14753" xr:uid="{F6F2FF4D-5722-45E6-9329-6547F9B48FB7}"/>
    <cellStyle name="Currency 5 3 3 2 5 4" xfId="10535" xr:uid="{6F61CFAE-BC45-444F-A27C-AD37678F588D}"/>
    <cellStyle name="Currency 5 3 3 2 6" xfId="2439" xr:uid="{00000000-0005-0000-0000-0000F00C0000}"/>
    <cellStyle name="Currency 5 3 3 2 6 2" xfId="6724" xr:uid="{00000000-0005-0000-0000-0000F10C0000}"/>
    <cellStyle name="Currency 5 3 3 2 6 2 2" xfId="15166" xr:uid="{09D1DCB8-52A7-46C1-8C0A-00506451F9D5}"/>
    <cellStyle name="Currency 5 3 3 2 6 3" xfId="10948" xr:uid="{087808AB-1B36-4296-B2A2-3489FCF3AA8A}"/>
    <cellStyle name="Currency 5 3 3 2 7" xfId="2736" xr:uid="{00000000-0005-0000-0000-0000F20C0000}"/>
    <cellStyle name="Currency 5 3 3 2 8" xfId="2817" xr:uid="{00000000-0005-0000-0000-0000F30C0000}"/>
    <cellStyle name="Currency 5 3 3 2 8 2" xfId="7041" xr:uid="{00000000-0005-0000-0000-0000F40C0000}"/>
    <cellStyle name="Currency 5 3 3 2 8 2 2" xfId="15483" xr:uid="{A5E9A5DC-B074-4683-8299-49D9DA80CFDE}"/>
    <cellStyle name="Currency 5 3 3 2 8 3" xfId="11265" xr:uid="{3C186892-5A50-499A-90AB-56F92E5A5335}"/>
    <cellStyle name="Currency 5 3 3 2 9" xfId="4658" xr:uid="{00000000-0005-0000-0000-0000F50C0000}"/>
    <cellStyle name="Currency 5 3 3 2 9 2" xfId="13100" xr:uid="{AB99C31D-B189-41A7-8436-B2A0A0346E71}"/>
    <cellStyle name="Currency 5 3 3 3" xfId="740" xr:uid="{00000000-0005-0000-0000-0000F60C0000}"/>
    <cellStyle name="Currency 5 3 3 3 2" xfId="2993" xr:uid="{00000000-0005-0000-0000-0000F70C0000}"/>
    <cellStyle name="Currency 5 3 3 3 2 2" xfId="7216" xr:uid="{00000000-0005-0000-0000-0000F80C0000}"/>
    <cellStyle name="Currency 5 3 3 3 2 2 2" xfId="15658" xr:uid="{4B6664E6-19FD-470B-8AE6-37BCA939C566}"/>
    <cellStyle name="Currency 5 3 3 3 2 3" xfId="11440" xr:uid="{9E8D640E-2899-43B9-88D2-140F50B9688F}"/>
    <cellStyle name="Currency 5 3 3 3 3" xfId="5071" xr:uid="{00000000-0005-0000-0000-0000F90C0000}"/>
    <cellStyle name="Currency 5 3 3 3 3 2" xfId="13513" xr:uid="{E914FDC6-7AF3-48BB-B348-0981C76E7C1F}"/>
    <cellStyle name="Currency 5 3 3 3 4" xfId="9295" xr:uid="{9C631E5D-0313-407C-AB4A-74231EB136A6}"/>
    <cellStyle name="Currency 5 3 3 4" xfId="1175" xr:uid="{00000000-0005-0000-0000-0000FA0C0000}"/>
    <cellStyle name="Currency 5 3 3 4 2" xfId="3406" xr:uid="{00000000-0005-0000-0000-0000FB0C0000}"/>
    <cellStyle name="Currency 5 3 3 4 2 2" xfId="7629" xr:uid="{00000000-0005-0000-0000-0000FC0C0000}"/>
    <cellStyle name="Currency 5 3 3 4 2 2 2" xfId="16071" xr:uid="{28C497F0-68AA-49F3-9D5F-E3333EDA2264}"/>
    <cellStyle name="Currency 5 3 3 4 2 3" xfId="11853" xr:uid="{18F53516-39F7-4660-B1CB-217463A36551}"/>
    <cellStyle name="Currency 5 3 3 4 3" xfId="5484" xr:uid="{00000000-0005-0000-0000-0000FD0C0000}"/>
    <cellStyle name="Currency 5 3 3 4 3 2" xfId="13926" xr:uid="{BEA58820-C877-4ECC-AE20-A04FB37F0A61}"/>
    <cellStyle name="Currency 5 3 3 4 4" xfId="9708" xr:uid="{829355EC-0334-49D5-BD2B-5130EB9FDC9A}"/>
    <cellStyle name="Currency 5 3 3 5" xfId="1589" xr:uid="{00000000-0005-0000-0000-0000FE0C0000}"/>
    <cellStyle name="Currency 5 3 3 5 2" xfId="3819" xr:uid="{00000000-0005-0000-0000-0000FF0C0000}"/>
    <cellStyle name="Currency 5 3 3 5 2 2" xfId="8042" xr:uid="{00000000-0005-0000-0000-0000000D0000}"/>
    <cellStyle name="Currency 5 3 3 5 2 2 2" xfId="16484" xr:uid="{29BF6B69-CBF6-452A-AAD3-1B460252D840}"/>
    <cellStyle name="Currency 5 3 3 5 2 3" xfId="12266" xr:uid="{9D7CA186-E75C-474A-A12D-52606FFD98C3}"/>
    <cellStyle name="Currency 5 3 3 5 3" xfId="5897" xr:uid="{00000000-0005-0000-0000-0000010D0000}"/>
    <cellStyle name="Currency 5 3 3 5 3 2" xfId="14339" xr:uid="{B6E01846-32BD-42C4-A855-A693C6F32AFD}"/>
    <cellStyle name="Currency 5 3 3 5 4" xfId="10121" xr:uid="{0A520046-A4EB-40A6-9E3A-AAB9E5FF576D}"/>
    <cellStyle name="Currency 5 3 3 6" xfId="2003" xr:uid="{00000000-0005-0000-0000-0000020D0000}"/>
    <cellStyle name="Currency 5 3 3 6 2" xfId="4232" xr:uid="{00000000-0005-0000-0000-0000030D0000}"/>
    <cellStyle name="Currency 5 3 3 6 2 2" xfId="8455" xr:uid="{00000000-0005-0000-0000-0000040D0000}"/>
    <cellStyle name="Currency 5 3 3 6 2 2 2" xfId="16897" xr:uid="{A982AEF7-6AB8-4DD4-92EF-A07BB85FFBB8}"/>
    <cellStyle name="Currency 5 3 3 6 2 3" xfId="12679" xr:uid="{1AC65144-C7B0-4EA2-BC50-D828B6ADEF03}"/>
    <cellStyle name="Currency 5 3 3 6 3" xfId="6310" xr:uid="{00000000-0005-0000-0000-0000050D0000}"/>
    <cellStyle name="Currency 5 3 3 6 3 2" xfId="14752" xr:uid="{11833158-03AF-4E71-B8F3-94A7DACED213}"/>
    <cellStyle name="Currency 5 3 3 6 4" xfId="10534" xr:uid="{CE99476A-4254-40BD-B416-BBB696EF884D}"/>
    <cellStyle name="Currency 5 3 3 7" xfId="2438" xr:uid="{00000000-0005-0000-0000-0000060D0000}"/>
    <cellStyle name="Currency 5 3 3 7 2" xfId="6723" xr:uid="{00000000-0005-0000-0000-0000070D0000}"/>
    <cellStyle name="Currency 5 3 3 7 2 2" xfId="15165" xr:uid="{BBBB0743-C0B5-473C-8883-B0364C1406D8}"/>
    <cellStyle name="Currency 5 3 3 7 3" xfId="10947" xr:uid="{643C8654-F6BE-4068-9507-BCD686F10287}"/>
    <cellStyle name="Currency 5 3 3 8" xfId="2735" xr:uid="{00000000-0005-0000-0000-0000080D0000}"/>
    <cellStyle name="Currency 5 3 3 9" xfId="2816" xr:uid="{00000000-0005-0000-0000-0000090D0000}"/>
    <cellStyle name="Currency 5 3 3 9 2" xfId="7040" xr:uid="{00000000-0005-0000-0000-00000A0D0000}"/>
    <cellStyle name="Currency 5 3 3 9 2 2" xfId="15482" xr:uid="{4732A963-4785-4651-AB3A-DE7829F59402}"/>
    <cellStyle name="Currency 5 3 3 9 3" xfId="11264" xr:uid="{7E3A771F-50D9-468B-BD5B-ACFD9BB14B26}"/>
    <cellStyle name="Currency 5 3 4" xfId="216" xr:uid="{00000000-0005-0000-0000-00000B0D0000}"/>
    <cellStyle name="Currency 5 3 4 10" xfId="8883" xr:uid="{1CE9455B-995C-4BBC-91B5-8E7D92A89C18}"/>
    <cellStyle name="Currency 5 3 4 2" xfId="742" xr:uid="{00000000-0005-0000-0000-00000C0D0000}"/>
    <cellStyle name="Currency 5 3 4 2 2" xfId="2995" xr:uid="{00000000-0005-0000-0000-00000D0D0000}"/>
    <cellStyle name="Currency 5 3 4 2 2 2" xfId="7218" xr:uid="{00000000-0005-0000-0000-00000E0D0000}"/>
    <cellStyle name="Currency 5 3 4 2 2 2 2" xfId="15660" xr:uid="{E7C58DAB-97CE-42AF-9A54-CF92181F7CC9}"/>
    <cellStyle name="Currency 5 3 4 2 2 3" xfId="11442" xr:uid="{97EED93F-B4D4-4EBA-A629-05F209698670}"/>
    <cellStyle name="Currency 5 3 4 2 3" xfId="5073" xr:uid="{00000000-0005-0000-0000-00000F0D0000}"/>
    <cellStyle name="Currency 5 3 4 2 3 2" xfId="13515" xr:uid="{98EFFBCD-247E-4660-89D5-E1C241253FED}"/>
    <cellStyle name="Currency 5 3 4 2 4" xfId="9297" xr:uid="{2766E696-697D-44E6-BE13-C16AB718C627}"/>
    <cellStyle name="Currency 5 3 4 3" xfId="1177" xr:uid="{00000000-0005-0000-0000-0000100D0000}"/>
    <cellStyle name="Currency 5 3 4 3 2" xfId="3408" xr:uid="{00000000-0005-0000-0000-0000110D0000}"/>
    <cellStyle name="Currency 5 3 4 3 2 2" xfId="7631" xr:uid="{00000000-0005-0000-0000-0000120D0000}"/>
    <cellStyle name="Currency 5 3 4 3 2 2 2" xfId="16073" xr:uid="{CB8D76CD-FA72-4A7E-9337-22D4C3549120}"/>
    <cellStyle name="Currency 5 3 4 3 2 3" xfId="11855" xr:uid="{E0E28839-7024-41AA-B36D-FA9E6AE9EA03}"/>
    <cellStyle name="Currency 5 3 4 3 3" xfId="5486" xr:uid="{00000000-0005-0000-0000-0000130D0000}"/>
    <cellStyle name="Currency 5 3 4 3 3 2" xfId="13928" xr:uid="{4BDE0B86-1DBF-4A1B-B4E1-7104F8119D03}"/>
    <cellStyle name="Currency 5 3 4 3 4" xfId="9710" xr:uid="{AF471293-9E52-4572-A847-B726DBFDB8C0}"/>
    <cellStyle name="Currency 5 3 4 4" xfId="1591" xr:uid="{00000000-0005-0000-0000-0000140D0000}"/>
    <cellStyle name="Currency 5 3 4 4 2" xfId="3821" xr:uid="{00000000-0005-0000-0000-0000150D0000}"/>
    <cellStyle name="Currency 5 3 4 4 2 2" xfId="8044" xr:uid="{00000000-0005-0000-0000-0000160D0000}"/>
    <cellStyle name="Currency 5 3 4 4 2 2 2" xfId="16486" xr:uid="{39F20E77-D890-4D9E-A97B-99B68DFD91B1}"/>
    <cellStyle name="Currency 5 3 4 4 2 3" xfId="12268" xr:uid="{34B00234-B8BF-44AE-8041-123956D1034B}"/>
    <cellStyle name="Currency 5 3 4 4 3" xfId="5899" xr:uid="{00000000-0005-0000-0000-0000170D0000}"/>
    <cellStyle name="Currency 5 3 4 4 3 2" xfId="14341" xr:uid="{6A1E383D-FEBC-458B-A459-534F22C30D2B}"/>
    <cellStyle name="Currency 5 3 4 4 4" xfId="10123" xr:uid="{F2025B5B-61ED-45C0-8175-3F34DCE240E0}"/>
    <cellStyle name="Currency 5 3 4 5" xfId="2005" xr:uid="{00000000-0005-0000-0000-0000180D0000}"/>
    <cellStyle name="Currency 5 3 4 5 2" xfId="4234" xr:uid="{00000000-0005-0000-0000-0000190D0000}"/>
    <cellStyle name="Currency 5 3 4 5 2 2" xfId="8457" xr:uid="{00000000-0005-0000-0000-00001A0D0000}"/>
    <cellStyle name="Currency 5 3 4 5 2 2 2" xfId="16899" xr:uid="{9D5BEFE4-113B-4826-8311-F570CA978C51}"/>
    <cellStyle name="Currency 5 3 4 5 2 3" xfId="12681" xr:uid="{95F3C2C4-7AE1-4E53-A295-DA6D21116B76}"/>
    <cellStyle name="Currency 5 3 4 5 3" xfId="6312" xr:uid="{00000000-0005-0000-0000-00001B0D0000}"/>
    <cellStyle name="Currency 5 3 4 5 3 2" xfId="14754" xr:uid="{44E5DC95-7BBA-4253-BC97-CA288B96E49B}"/>
    <cellStyle name="Currency 5 3 4 5 4" xfId="10536" xr:uid="{6D34E3A5-0EBF-4796-8164-F7E188D047B7}"/>
    <cellStyle name="Currency 5 3 4 6" xfId="2440" xr:uid="{00000000-0005-0000-0000-00001C0D0000}"/>
    <cellStyle name="Currency 5 3 4 6 2" xfId="6725" xr:uid="{00000000-0005-0000-0000-00001D0D0000}"/>
    <cellStyle name="Currency 5 3 4 6 2 2" xfId="15167" xr:uid="{8C5D32BF-44FE-4D71-BF76-DA5F6A905588}"/>
    <cellStyle name="Currency 5 3 4 6 3" xfId="10949" xr:uid="{9FFE9A9B-2F99-4269-9D95-57144ECF48C8}"/>
    <cellStyle name="Currency 5 3 4 7" xfId="2737" xr:uid="{00000000-0005-0000-0000-00001E0D0000}"/>
    <cellStyle name="Currency 5 3 4 8" xfId="2818" xr:uid="{00000000-0005-0000-0000-00001F0D0000}"/>
    <cellStyle name="Currency 5 3 4 8 2" xfId="7042" xr:uid="{00000000-0005-0000-0000-0000200D0000}"/>
    <cellStyle name="Currency 5 3 4 8 2 2" xfId="15484" xr:uid="{C2A7B7B9-D6CA-4E9F-A645-9B76D56758FA}"/>
    <cellStyle name="Currency 5 3 4 8 3" xfId="11266" xr:uid="{8A5A8135-B938-4E76-89B8-0B9B2E4212EB}"/>
    <cellStyle name="Currency 5 3 4 9" xfId="4659" xr:uid="{00000000-0005-0000-0000-0000210D0000}"/>
    <cellStyle name="Currency 5 3 4 9 2" xfId="13101" xr:uid="{283B8DCB-D04A-4F4A-BBA1-FE6F59A6030A}"/>
    <cellStyle name="Currency 5 3 5" xfId="217" xr:uid="{00000000-0005-0000-0000-0000220D0000}"/>
    <cellStyle name="Currency 5 3 5 10" xfId="8884" xr:uid="{6F3319A6-3B41-4854-942C-F728AEB0702C}"/>
    <cellStyle name="Currency 5 3 5 2" xfId="743" xr:uid="{00000000-0005-0000-0000-0000230D0000}"/>
    <cellStyle name="Currency 5 3 5 2 2" xfId="2996" xr:uid="{00000000-0005-0000-0000-0000240D0000}"/>
    <cellStyle name="Currency 5 3 5 2 2 2" xfId="7219" xr:uid="{00000000-0005-0000-0000-0000250D0000}"/>
    <cellStyle name="Currency 5 3 5 2 2 2 2" xfId="15661" xr:uid="{9270AF58-F0C8-44E3-9EF3-13C5F613BB35}"/>
    <cellStyle name="Currency 5 3 5 2 2 3" xfId="11443" xr:uid="{31B68D7D-4241-4519-80A1-7C617EFBF50A}"/>
    <cellStyle name="Currency 5 3 5 2 3" xfId="5074" xr:uid="{00000000-0005-0000-0000-0000260D0000}"/>
    <cellStyle name="Currency 5 3 5 2 3 2" xfId="13516" xr:uid="{56E0F882-ED02-4CAB-9690-6AD15D0D97E6}"/>
    <cellStyle name="Currency 5 3 5 2 4" xfId="9298" xr:uid="{10DCB27D-C8D6-4121-88AE-72825BE7818F}"/>
    <cellStyle name="Currency 5 3 5 3" xfId="1178" xr:uid="{00000000-0005-0000-0000-0000270D0000}"/>
    <cellStyle name="Currency 5 3 5 3 2" xfId="3409" xr:uid="{00000000-0005-0000-0000-0000280D0000}"/>
    <cellStyle name="Currency 5 3 5 3 2 2" xfId="7632" xr:uid="{00000000-0005-0000-0000-0000290D0000}"/>
    <cellStyle name="Currency 5 3 5 3 2 2 2" xfId="16074" xr:uid="{E1E97FFE-8336-426C-A1BE-AEB936D0156D}"/>
    <cellStyle name="Currency 5 3 5 3 2 3" xfId="11856" xr:uid="{C410ED99-CDA2-4EDD-A0D3-248E17949F1E}"/>
    <cellStyle name="Currency 5 3 5 3 3" xfId="5487" xr:uid="{00000000-0005-0000-0000-00002A0D0000}"/>
    <cellStyle name="Currency 5 3 5 3 3 2" xfId="13929" xr:uid="{3A925B82-9FEF-4EBC-BFFF-05939C512CEE}"/>
    <cellStyle name="Currency 5 3 5 3 4" xfId="9711" xr:uid="{8CBC4784-CA5E-4F51-AC31-9495BB515633}"/>
    <cellStyle name="Currency 5 3 5 4" xfId="1592" xr:uid="{00000000-0005-0000-0000-00002B0D0000}"/>
    <cellStyle name="Currency 5 3 5 4 2" xfId="3822" xr:uid="{00000000-0005-0000-0000-00002C0D0000}"/>
    <cellStyle name="Currency 5 3 5 4 2 2" xfId="8045" xr:uid="{00000000-0005-0000-0000-00002D0D0000}"/>
    <cellStyle name="Currency 5 3 5 4 2 2 2" xfId="16487" xr:uid="{15CB5C18-8B41-4A29-AAF8-80C472AA1903}"/>
    <cellStyle name="Currency 5 3 5 4 2 3" xfId="12269" xr:uid="{AAA937ED-D699-49DA-B9E9-28E19597187A}"/>
    <cellStyle name="Currency 5 3 5 4 3" xfId="5900" xr:uid="{00000000-0005-0000-0000-00002E0D0000}"/>
    <cellStyle name="Currency 5 3 5 4 3 2" xfId="14342" xr:uid="{7A9B7D3A-D22D-45E1-B427-A00E742AE464}"/>
    <cellStyle name="Currency 5 3 5 4 4" xfId="10124" xr:uid="{474EED83-AB12-4B4D-BCD6-34F78A7339AA}"/>
    <cellStyle name="Currency 5 3 5 5" xfId="2006" xr:uid="{00000000-0005-0000-0000-00002F0D0000}"/>
    <cellStyle name="Currency 5 3 5 5 2" xfId="4235" xr:uid="{00000000-0005-0000-0000-0000300D0000}"/>
    <cellStyle name="Currency 5 3 5 5 2 2" xfId="8458" xr:uid="{00000000-0005-0000-0000-0000310D0000}"/>
    <cellStyle name="Currency 5 3 5 5 2 2 2" xfId="16900" xr:uid="{EA454761-F9B2-4A0A-9EA4-0EE65145006A}"/>
    <cellStyle name="Currency 5 3 5 5 2 3" xfId="12682" xr:uid="{1F7F000D-D83F-4649-B67F-5BD08C9CBCE6}"/>
    <cellStyle name="Currency 5 3 5 5 3" xfId="6313" xr:uid="{00000000-0005-0000-0000-0000320D0000}"/>
    <cellStyle name="Currency 5 3 5 5 3 2" xfId="14755" xr:uid="{B3BB92A9-0E44-45F1-B009-67F1A61AB898}"/>
    <cellStyle name="Currency 5 3 5 5 4" xfId="10537" xr:uid="{C577AF26-EC0F-47D8-973A-A04DA173EB09}"/>
    <cellStyle name="Currency 5 3 5 6" xfId="2441" xr:uid="{00000000-0005-0000-0000-0000330D0000}"/>
    <cellStyle name="Currency 5 3 5 6 2" xfId="6726" xr:uid="{00000000-0005-0000-0000-0000340D0000}"/>
    <cellStyle name="Currency 5 3 5 6 2 2" xfId="15168" xr:uid="{4A28E887-0A15-43BF-8D7E-95D3E2850231}"/>
    <cellStyle name="Currency 5 3 5 6 3" xfId="10950" xr:uid="{2DAE1097-9D72-42B6-83B5-68C4E6330A3C}"/>
    <cellStyle name="Currency 5 3 5 7" xfId="2738" xr:uid="{00000000-0005-0000-0000-0000350D0000}"/>
    <cellStyle name="Currency 5 3 5 8" xfId="2819" xr:uid="{00000000-0005-0000-0000-0000360D0000}"/>
    <cellStyle name="Currency 5 3 5 8 2" xfId="7043" xr:uid="{00000000-0005-0000-0000-0000370D0000}"/>
    <cellStyle name="Currency 5 3 5 8 2 2" xfId="15485" xr:uid="{837F4371-92BA-4B0D-9ABC-D14E7560C892}"/>
    <cellStyle name="Currency 5 3 5 8 3" xfId="11267" xr:uid="{702E48B3-5672-4334-8A19-4311A37791E4}"/>
    <cellStyle name="Currency 5 3 5 9" xfId="4660" xr:uid="{00000000-0005-0000-0000-0000380D0000}"/>
    <cellStyle name="Currency 5 3 5 9 2" xfId="13102" xr:uid="{38DE4DD0-705D-42AF-B8D8-7A4A2C2FA42B}"/>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10 2" xfId="13103" xr:uid="{BD8CC18F-C808-42E4-B2EF-5181155DD0AF}"/>
    <cellStyle name="Currency 5 5 11" xfId="8885" xr:uid="{3043608F-A974-46B0-8463-AA68645613ED}"/>
    <cellStyle name="Currency 5 5 2" xfId="220" xr:uid="{00000000-0005-0000-0000-00003D0D0000}"/>
    <cellStyle name="Currency 5 5 2 10" xfId="8886" xr:uid="{04E52A28-AFAC-4470-AF33-CF4F157B259A}"/>
    <cellStyle name="Currency 5 5 2 2" xfId="746" xr:uid="{00000000-0005-0000-0000-00003E0D0000}"/>
    <cellStyle name="Currency 5 5 2 2 2" xfId="2998" xr:uid="{00000000-0005-0000-0000-00003F0D0000}"/>
    <cellStyle name="Currency 5 5 2 2 2 2" xfId="7221" xr:uid="{00000000-0005-0000-0000-0000400D0000}"/>
    <cellStyle name="Currency 5 5 2 2 2 2 2" xfId="15663" xr:uid="{21F830A5-20F9-40B8-82A0-2DF029FDEF82}"/>
    <cellStyle name="Currency 5 5 2 2 2 3" xfId="11445" xr:uid="{73517B5B-4971-4621-89BE-3090CC220AF1}"/>
    <cellStyle name="Currency 5 5 2 2 3" xfId="5076" xr:uid="{00000000-0005-0000-0000-0000410D0000}"/>
    <cellStyle name="Currency 5 5 2 2 3 2" xfId="13518" xr:uid="{248A0DF9-4785-49C7-9EEA-1E6289F0B8C4}"/>
    <cellStyle name="Currency 5 5 2 2 4" xfId="9300" xr:uid="{F3BFF80A-9904-4137-AF2B-2B46CAC56E22}"/>
    <cellStyle name="Currency 5 5 2 3" xfId="1180" xr:uid="{00000000-0005-0000-0000-0000420D0000}"/>
    <cellStyle name="Currency 5 5 2 3 2" xfId="3411" xr:uid="{00000000-0005-0000-0000-0000430D0000}"/>
    <cellStyle name="Currency 5 5 2 3 2 2" xfId="7634" xr:uid="{00000000-0005-0000-0000-0000440D0000}"/>
    <cellStyle name="Currency 5 5 2 3 2 2 2" xfId="16076" xr:uid="{42CB6D50-2381-44C7-B814-CBE961991865}"/>
    <cellStyle name="Currency 5 5 2 3 2 3" xfId="11858" xr:uid="{6A1342CE-A206-426E-AB8B-FDCBB3FCB54D}"/>
    <cellStyle name="Currency 5 5 2 3 3" xfId="5489" xr:uid="{00000000-0005-0000-0000-0000450D0000}"/>
    <cellStyle name="Currency 5 5 2 3 3 2" xfId="13931" xr:uid="{780AE708-E70E-45FD-A0A1-F6DD5AC18647}"/>
    <cellStyle name="Currency 5 5 2 3 4" xfId="9713" xr:uid="{CCB30F78-8C33-41AC-B739-AD02AA37B77E}"/>
    <cellStyle name="Currency 5 5 2 4" xfId="1594" xr:uid="{00000000-0005-0000-0000-0000460D0000}"/>
    <cellStyle name="Currency 5 5 2 4 2" xfId="3824" xr:uid="{00000000-0005-0000-0000-0000470D0000}"/>
    <cellStyle name="Currency 5 5 2 4 2 2" xfId="8047" xr:uid="{00000000-0005-0000-0000-0000480D0000}"/>
    <cellStyle name="Currency 5 5 2 4 2 2 2" xfId="16489" xr:uid="{65B4A755-D0B1-4F4D-859A-7CE8A4A61783}"/>
    <cellStyle name="Currency 5 5 2 4 2 3" xfId="12271" xr:uid="{C9E342C5-9001-4824-9A78-F034CA44A386}"/>
    <cellStyle name="Currency 5 5 2 4 3" xfId="5902" xr:uid="{00000000-0005-0000-0000-0000490D0000}"/>
    <cellStyle name="Currency 5 5 2 4 3 2" xfId="14344" xr:uid="{716DF264-5E56-4E7F-8F4F-2B44537B659E}"/>
    <cellStyle name="Currency 5 5 2 4 4" xfId="10126" xr:uid="{E396D443-E06E-47CD-B2B8-63A94DA6CE16}"/>
    <cellStyle name="Currency 5 5 2 5" xfId="2008" xr:uid="{00000000-0005-0000-0000-00004A0D0000}"/>
    <cellStyle name="Currency 5 5 2 5 2" xfId="4237" xr:uid="{00000000-0005-0000-0000-00004B0D0000}"/>
    <cellStyle name="Currency 5 5 2 5 2 2" xfId="8460" xr:uid="{00000000-0005-0000-0000-00004C0D0000}"/>
    <cellStyle name="Currency 5 5 2 5 2 2 2" xfId="16902" xr:uid="{9A95FF6D-1771-49FF-BEE4-FFB8613661AE}"/>
    <cellStyle name="Currency 5 5 2 5 2 3" xfId="12684" xr:uid="{D9695932-CD94-4A96-BBA6-278DD5BB88C6}"/>
    <cellStyle name="Currency 5 5 2 5 3" xfId="6315" xr:uid="{00000000-0005-0000-0000-00004D0D0000}"/>
    <cellStyle name="Currency 5 5 2 5 3 2" xfId="14757" xr:uid="{62FD7439-99F7-4AA2-97EB-60637A1213C9}"/>
    <cellStyle name="Currency 5 5 2 5 4" xfId="10539" xr:uid="{D42E0C4A-19D6-4E90-A771-1C6B1442B5BD}"/>
    <cellStyle name="Currency 5 5 2 6" xfId="2443" xr:uid="{00000000-0005-0000-0000-00004E0D0000}"/>
    <cellStyle name="Currency 5 5 2 6 2" xfId="6728" xr:uid="{00000000-0005-0000-0000-00004F0D0000}"/>
    <cellStyle name="Currency 5 5 2 6 2 2" xfId="15170" xr:uid="{E893D6AB-7613-4EB8-9FB8-57614E90EF62}"/>
    <cellStyle name="Currency 5 5 2 6 3" xfId="10952" xr:uid="{21D562CE-7147-4C8E-95B1-069F47F58EAF}"/>
    <cellStyle name="Currency 5 5 2 7" xfId="2740" xr:uid="{00000000-0005-0000-0000-0000500D0000}"/>
    <cellStyle name="Currency 5 5 2 8" xfId="2821" xr:uid="{00000000-0005-0000-0000-0000510D0000}"/>
    <cellStyle name="Currency 5 5 2 8 2" xfId="7045" xr:uid="{00000000-0005-0000-0000-0000520D0000}"/>
    <cellStyle name="Currency 5 5 2 8 2 2" xfId="15487" xr:uid="{B9D29BE0-C301-4175-9078-CBBE14C93582}"/>
    <cellStyle name="Currency 5 5 2 8 3" xfId="11269" xr:uid="{E0B9FDC2-8881-4A1A-A5B4-B9FB8600C3DA}"/>
    <cellStyle name="Currency 5 5 2 9" xfId="4662" xr:uid="{00000000-0005-0000-0000-0000530D0000}"/>
    <cellStyle name="Currency 5 5 2 9 2" xfId="13104" xr:uid="{856019C0-9C35-4D38-B41E-1ACDA1E8F3A9}"/>
    <cellStyle name="Currency 5 5 3" xfId="745" xr:uid="{00000000-0005-0000-0000-0000540D0000}"/>
    <cellStyle name="Currency 5 5 3 2" xfId="2997" xr:uid="{00000000-0005-0000-0000-0000550D0000}"/>
    <cellStyle name="Currency 5 5 3 2 2" xfId="7220" xr:uid="{00000000-0005-0000-0000-0000560D0000}"/>
    <cellStyle name="Currency 5 5 3 2 2 2" xfId="15662" xr:uid="{C11C38D9-6C67-4050-B879-EE318E16022A}"/>
    <cellStyle name="Currency 5 5 3 2 3" xfId="11444" xr:uid="{B1558981-AF0F-4E52-BE83-F4E4A67EE5B0}"/>
    <cellStyle name="Currency 5 5 3 3" xfId="5075" xr:uid="{00000000-0005-0000-0000-0000570D0000}"/>
    <cellStyle name="Currency 5 5 3 3 2" xfId="13517" xr:uid="{C6E622D9-C141-4B64-B5F8-B3E15652DBB9}"/>
    <cellStyle name="Currency 5 5 3 4" xfId="9299" xr:uid="{C9C3FC32-A5A5-442A-95AA-FA6E4E5D1C9C}"/>
    <cellStyle name="Currency 5 5 4" xfId="1179" xr:uid="{00000000-0005-0000-0000-0000580D0000}"/>
    <cellStyle name="Currency 5 5 4 2" xfId="3410" xr:uid="{00000000-0005-0000-0000-0000590D0000}"/>
    <cellStyle name="Currency 5 5 4 2 2" xfId="7633" xr:uid="{00000000-0005-0000-0000-00005A0D0000}"/>
    <cellStyle name="Currency 5 5 4 2 2 2" xfId="16075" xr:uid="{7B8CD831-DDD8-485F-AE0B-01D2C269D985}"/>
    <cellStyle name="Currency 5 5 4 2 3" xfId="11857" xr:uid="{7C344380-A513-4B55-8758-409439C37B38}"/>
    <cellStyle name="Currency 5 5 4 3" xfId="5488" xr:uid="{00000000-0005-0000-0000-00005B0D0000}"/>
    <cellStyle name="Currency 5 5 4 3 2" xfId="13930" xr:uid="{FF429815-B351-4515-BDB3-62164EACE24E}"/>
    <cellStyle name="Currency 5 5 4 4" xfId="9712" xr:uid="{91096BEE-B38E-4770-9264-AFB138397865}"/>
    <cellStyle name="Currency 5 5 5" xfId="1593" xr:uid="{00000000-0005-0000-0000-00005C0D0000}"/>
    <cellStyle name="Currency 5 5 5 2" xfId="3823" xr:uid="{00000000-0005-0000-0000-00005D0D0000}"/>
    <cellStyle name="Currency 5 5 5 2 2" xfId="8046" xr:uid="{00000000-0005-0000-0000-00005E0D0000}"/>
    <cellStyle name="Currency 5 5 5 2 2 2" xfId="16488" xr:uid="{9925E3EA-455C-4427-B9F1-3F5F00555F0C}"/>
    <cellStyle name="Currency 5 5 5 2 3" xfId="12270" xr:uid="{41A701EF-BB4C-40D6-BEC4-433B6639CBE5}"/>
    <cellStyle name="Currency 5 5 5 3" xfId="5901" xr:uid="{00000000-0005-0000-0000-00005F0D0000}"/>
    <cellStyle name="Currency 5 5 5 3 2" xfId="14343" xr:uid="{3CA621AE-7640-4D4D-BF77-54C448B3C504}"/>
    <cellStyle name="Currency 5 5 5 4" xfId="10125" xr:uid="{73F9D772-15C1-4345-98BB-1EC7E00BE4DB}"/>
    <cellStyle name="Currency 5 5 6" xfId="2007" xr:uid="{00000000-0005-0000-0000-0000600D0000}"/>
    <cellStyle name="Currency 5 5 6 2" xfId="4236" xr:uid="{00000000-0005-0000-0000-0000610D0000}"/>
    <cellStyle name="Currency 5 5 6 2 2" xfId="8459" xr:uid="{00000000-0005-0000-0000-0000620D0000}"/>
    <cellStyle name="Currency 5 5 6 2 2 2" xfId="16901" xr:uid="{C09DC42D-5194-4179-9179-4FD63E64B94F}"/>
    <cellStyle name="Currency 5 5 6 2 3" xfId="12683" xr:uid="{7537EAA3-3E3B-46BB-BAD1-6C463D9BE85F}"/>
    <cellStyle name="Currency 5 5 6 3" xfId="6314" xr:uid="{00000000-0005-0000-0000-0000630D0000}"/>
    <cellStyle name="Currency 5 5 6 3 2" xfId="14756" xr:uid="{519A610C-AEDA-4D84-ACBD-2AD3000710A2}"/>
    <cellStyle name="Currency 5 5 6 4" xfId="10538" xr:uid="{310DBC90-5587-4ABD-836F-B5BDB1E44C2A}"/>
    <cellStyle name="Currency 5 5 7" xfId="2442" xr:uid="{00000000-0005-0000-0000-0000640D0000}"/>
    <cellStyle name="Currency 5 5 7 2" xfId="6727" xr:uid="{00000000-0005-0000-0000-0000650D0000}"/>
    <cellStyle name="Currency 5 5 7 2 2" xfId="15169" xr:uid="{8092C7AB-7574-42DE-AD45-50ED467205B3}"/>
    <cellStyle name="Currency 5 5 7 3" xfId="10951" xr:uid="{77D709C8-C941-455D-8E17-329BD59D9650}"/>
    <cellStyle name="Currency 5 5 8" xfId="2739" xr:uid="{00000000-0005-0000-0000-0000660D0000}"/>
    <cellStyle name="Currency 5 5 9" xfId="2820" xr:uid="{00000000-0005-0000-0000-0000670D0000}"/>
    <cellStyle name="Currency 5 5 9 2" xfId="7044" xr:uid="{00000000-0005-0000-0000-0000680D0000}"/>
    <cellStyle name="Currency 5 5 9 2 2" xfId="15486" xr:uid="{D3F18BBD-9860-42CE-8175-504B4C99A6A9}"/>
    <cellStyle name="Currency 5 5 9 3" xfId="11268" xr:uid="{B9BFC0F3-F8FF-4233-BD9F-37DC879AC62C}"/>
    <cellStyle name="Currency 5 6" xfId="221" xr:uid="{00000000-0005-0000-0000-0000690D0000}"/>
    <cellStyle name="Currency 5 6 10" xfId="8887" xr:uid="{43F00D12-3120-4B8E-94F1-52FE78C79850}"/>
    <cellStyle name="Currency 5 6 2" xfId="747" xr:uid="{00000000-0005-0000-0000-00006A0D0000}"/>
    <cellStyle name="Currency 5 6 2 2" xfId="2999" xr:uid="{00000000-0005-0000-0000-00006B0D0000}"/>
    <cellStyle name="Currency 5 6 2 2 2" xfId="7222" xr:uid="{00000000-0005-0000-0000-00006C0D0000}"/>
    <cellStyle name="Currency 5 6 2 2 2 2" xfId="15664" xr:uid="{3D1E0825-625A-449B-B7AE-F7D17BEF7C12}"/>
    <cellStyle name="Currency 5 6 2 2 3" xfId="11446" xr:uid="{6283CBAE-E779-413D-B51C-7094E5635ED7}"/>
    <cellStyle name="Currency 5 6 2 3" xfId="5077" xr:uid="{00000000-0005-0000-0000-00006D0D0000}"/>
    <cellStyle name="Currency 5 6 2 3 2" xfId="13519" xr:uid="{FE1B5BBE-98C1-4949-8B97-A0480C45A1C5}"/>
    <cellStyle name="Currency 5 6 2 4" xfId="9301" xr:uid="{34D1F0A7-CD8D-4113-BDEB-8C3520FC1DB7}"/>
    <cellStyle name="Currency 5 6 3" xfId="1181" xr:uid="{00000000-0005-0000-0000-00006E0D0000}"/>
    <cellStyle name="Currency 5 6 3 2" xfId="3412" xr:uid="{00000000-0005-0000-0000-00006F0D0000}"/>
    <cellStyle name="Currency 5 6 3 2 2" xfId="7635" xr:uid="{00000000-0005-0000-0000-0000700D0000}"/>
    <cellStyle name="Currency 5 6 3 2 2 2" xfId="16077" xr:uid="{C8330E1E-6375-4153-B409-3230D4B6234F}"/>
    <cellStyle name="Currency 5 6 3 2 3" xfId="11859" xr:uid="{D64EB2DE-36B0-403C-BBAC-44E915483934}"/>
    <cellStyle name="Currency 5 6 3 3" xfId="5490" xr:uid="{00000000-0005-0000-0000-0000710D0000}"/>
    <cellStyle name="Currency 5 6 3 3 2" xfId="13932" xr:uid="{80E85BDE-7A9D-4D81-B1AA-A8B58C274857}"/>
    <cellStyle name="Currency 5 6 3 4" xfId="9714" xr:uid="{2D43C920-739E-4C44-B4DF-9511D8D97D9A}"/>
    <cellStyle name="Currency 5 6 4" xfId="1595" xr:uid="{00000000-0005-0000-0000-0000720D0000}"/>
    <cellStyle name="Currency 5 6 4 2" xfId="3825" xr:uid="{00000000-0005-0000-0000-0000730D0000}"/>
    <cellStyle name="Currency 5 6 4 2 2" xfId="8048" xr:uid="{00000000-0005-0000-0000-0000740D0000}"/>
    <cellStyle name="Currency 5 6 4 2 2 2" xfId="16490" xr:uid="{91046434-B0CC-4A51-B583-96EE9EF4490B}"/>
    <cellStyle name="Currency 5 6 4 2 3" xfId="12272" xr:uid="{CD582FA0-FF66-4A8C-97DD-97804DAE1C0F}"/>
    <cellStyle name="Currency 5 6 4 3" xfId="5903" xr:uid="{00000000-0005-0000-0000-0000750D0000}"/>
    <cellStyle name="Currency 5 6 4 3 2" xfId="14345" xr:uid="{E494ADAC-3A5F-4E76-B2EA-CF555E956E12}"/>
    <cellStyle name="Currency 5 6 4 4" xfId="10127" xr:uid="{7D07F7A1-857D-4E5F-AEEC-9B13B083A658}"/>
    <cellStyle name="Currency 5 6 5" xfId="2009" xr:uid="{00000000-0005-0000-0000-0000760D0000}"/>
    <cellStyle name="Currency 5 6 5 2" xfId="4238" xr:uid="{00000000-0005-0000-0000-0000770D0000}"/>
    <cellStyle name="Currency 5 6 5 2 2" xfId="8461" xr:uid="{00000000-0005-0000-0000-0000780D0000}"/>
    <cellStyle name="Currency 5 6 5 2 2 2" xfId="16903" xr:uid="{E7AC1FBF-2FA1-4797-A4E2-73589C7CA0B7}"/>
    <cellStyle name="Currency 5 6 5 2 3" xfId="12685" xr:uid="{728F1E3E-D1AD-45F8-8D9B-5D7533648402}"/>
    <cellStyle name="Currency 5 6 5 3" xfId="6316" xr:uid="{00000000-0005-0000-0000-0000790D0000}"/>
    <cellStyle name="Currency 5 6 5 3 2" xfId="14758" xr:uid="{A0F0E382-C723-4F97-8638-7BB6129AEA48}"/>
    <cellStyle name="Currency 5 6 5 4" xfId="10540" xr:uid="{B2937FFD-696A-4C8C-A85D-5F4DB60F2AD9}"/>
    <cellStyle name="Currency 5 6 6" xfId="2444" xr:uid="{00000000-0005-0000-0000-00007A0D0000}"/>
    <cellStyle name="Currency 5 6 6 2" xfId="6729" xr:uid="{00000000-0005-0000-0000-00007B0D0000}"/>
    <cellStyle name="Currency 5 6 6 2 2" xfId="15171" xr:uid="{DCD30B63-3109-4190-9896-D36F07471905}"/>
    <cellStyle name="Currency 5 6 6 3" xfId="10953" xr:uid="{2B5819FB-DD4E-48EA-BEBB-6E3AF592AA72}"/>
    <cellStyle name="Currency 5 6 7" xfId="2741" xr:uid="{00000000-0005-0000-0000-00007C0D0000}"/>
    <cellStyle name="Currency 5 6 8" xfId="2822" xr:uid="{00000000-0005-0000-0000-00007D0D0000}"/>
    <cellStyle name="Currency 5 6 8 2" xfId="7046" xr:uid="{00000000-0005-0000-0000-00007E0D0000}"/>
    <cellStyle name="Currency 5 6 8 2 2" xfId="15488" xr:uid="{6EF9297A-BA43-4EAC-BA2E-6EDC13300684}"/>
    <cellStyle name="Currency 5 6 8 3" xfId="11270" xr:uid="{2949BE67-11B2-4C27-B538-DAA56C8B6946}"/>
    <cellStyle name="Currency 5 6 9" xfId="4663" xr:uid="{00000000-0005-0000-0000-00007F0D0000}"/>
    <cellStyle name="Currency 5 6 9 2" xfId="13105" xr:uid="{E6EFF386-814A-4F8B-8023-3BCB51D7A6D5}"/>
    <cellStyle name="Currency 5 7" xfId="222" xr:uid="{00000000-0005-0000-0000-0000800D0000}"/>
    <cellStyle name="Currency 5 7 10" xfId="8888" xr:uid="{B116FC3D-C687-463E-9BF4-585DC761243D}"/>
    <cellStyle name="Currency 5 7 2" xfId="748" xr:uid="{00000000-0005-0000-0000-0000810D0000}"/>
    <cellStyle name="Currency 5 7 2 2" xfId="3000" xr:uid="{00000000-0005-0000-0000-0000820D0000}"/>
    <cellStyle name="Currency 5 7 2 2 2" xfId="7223" xr:uid="{00000000-0005-0000-0000-0000830D0000}"/>
    <cellStyle name="Currency 5 7 2 2 2 2" xfId="15665" xr:uid="{7B9D6590-3C01-4AE5-BDF0-1F7CE60AB647}"/>
    <cellStyle name="Currency 5 7 2 2 3" xfId="11447" xr:uid="{9D2FDFF8-8998-410F-8D97-45F91C4A8655}"/>
    <cellStyle name="Currency 5 7 2 3" xfId="5078" xr:uid="{00000000-0005-0000-0000-0000840D0000}"/>
    <cellStyle name="Currency 5 7 2 3 2" xfId="13520" xr:uid="{F4B012EE-54A3-40BE-A949-63DA5C4FBF1B}"/>
    <cellStyle name="Currency 5 7 2 4" xfId="9302" xr:uid="{BFE315F8-C18F-49B2-9018-F2EF536B13EC}"/>
    <cellStyle name="Currency 5 7 3" xfId="1182" xr:uid="{00000000-0005-0000-0000-0000850D0000}"/>
    <cellStyle name="Currency 5 7 3 2" xfId="3413" xr:uid="{00000000-0005-0000-0000-0000860D0000}"/>
    <cellStyle name="Currency 5 7 3 2 2" xfId="7636" xr:uid="{00000000-0005-0000-0000-0000870D0000}"/>
    <cellStyle name="Currency 5 7 3 2 2 2" xfId="16078" xr:uid="{42FD5C6B-4ED8-4D0D-AEFA-1D3BF3656ED8}"/>
    <cellStyle name="Currency 5 7 3 2 3" xfId="11860" xr:uid="{4F4C65C6-0D97-4969-8D6C-9BC2482EE984}"/>
    <cellStyle name="Currency 5 7 3 3" xfId="5491" xr:uid="{00000000-0005-0000-0000-0000880D0000}"/>
    <cellStyle name="Currency 5 7 3 3 2" xfId="13933" xr:uid="{CD33BA7F-D846-4741-AC7A-6BD7AA1A8B90}"/>
    <cellStyle name="Currency 5 7 3 4" xfId="9715" xr:uid="{B16BC892-062B-45CB-BD95-460AB54FECB9}"/>
    <cellStyle name="Currency 5 7 4" xfId="1596" xr:uid="{00000000-0005-0000-0000-0000890D0000}"/>
    <cellStyle name="Currency 5 7 4 2" xfId="3826" xr:uid="{00000000-0005-0000-0000-00008A0D0000}"/>
    <cellStyle name="Currency 5 7 4 2 2" xfId="8049" xr:uid="{00000000-0005-0000-0000-00008B0D0000}"/>
    <cellStyle name="Currency 5 7 4 2 2 2" xfId="16491" xr:uid="{AF76B38A-5EAC-43C2-B5A2-D0D590B4594B}"/>
    <cellStyle name="Currency 5 7 4 2 3" xfId="12273" xr:uid="{31C73F4E-371C-4506-A176-6BA35E30C7B0}"/>
    <cellStyle name="Currency 5 7 4 3" xfId="5904" xr:uid="{00000000-0005-0000-0000-00008C0D0000}"/>
    <cellStyle name="Currency 5 7 4 3 2" xfId="14346" xr:uid="{2678911E-4C9F-496F-BA7B-0E457241E0B6}"/>
    <cellStyle name="Currency 5 7 4 4" xfId="10128" xr:uid="{AC9B372D-5DFB-4164-A165-A72594BC6AFD}"/>
    <cellStyle name="Currency 5 7 5" xfId="2010" xr:uid="{00000000-0005-0000-0000-00008D0D0000}"/>
    <cellStyle name="Currency 5 7 5 2" xfId="4239" xr:uid="{00000000-0005-0000-0000-00008E0D0000}"/>
    <cellStyle name="Currency 5 7 5 2 2" xfId="8462" xr:uid="{00000000-0005-0000-0000-00008F0D0000}"/>
    <cellStyle name="Currency 5 7 5 2 2 2" xfId="16904" xr:uid="{DE16EACC-3527-4469-9CAE-0BF6BAB2E969}"/>
    <cellStyle name="Currency 5 7 5 2 3" xfId="12686" xr:uid="{3E83C04A-7B72-427C-94D4-BBB6314C8CA8}"/>
    <cellStyle name="Currency 5 7 5 3" xfId="6317" xr:uid="{00000000-0005-0000-0000-0000900D0000}"/>
    <cellStyle name="Currency 5 7 5 3 2" xfId="14759" xr:uid="{E75BD325-22EE-41FC-8003-51725D9EE6C5}"/>
    <cellStyle name="Currency 5 7 5 4" xfId="10541" xr:uid="{AB7FA78C-3E67-433B-A7C3-3E6B1A7EFB44}"/>
    <cellStyle name="Currency 5 7 6" xfId="2445" xr:uid="{00000000-0005-0000-0000-0000910D0000}"/>
    <cellStyle name="Currency 5 7 6 2" xfId="6730" xr:uid="{00000000-0005-0000-0000-0000920D0000}"/>
    <cellStyle name="Currency 5 7 6 2 2" xfId="15172" xr:uid="{3C6F6175-E0E8-47D6-878C-AF0056356CF4}"/>
    <cellStyle name="Currency 5 7 6 3" xfId="10954" xr:uid="{9C724BD1-4D19-4716-A121-C6633AA2887B}"/>
    <cellStyle name="Currency 5 7 7" xfId="2742" xr:uid="{00000000-0005-0000-0000-0000930D0000}"/>
    <cellStyle name="Currency 5 7 8" xfId="2823" xr:uid="{00000000-0005-0000-0000-0000940D0000}"/>
    <cellStyle name="Currency 5 7 8 2" xfId="7047" xr:uid="{00000000-0005-0000-0000-0000950D0000}"/>
    <cellStyle name="Currency 5 7 8 2 2" xfId="15489" xr:uid="{2FD2CA41-6291-40A2-B686-B796CBFA0F27}"/>
    <cellStyle name="Currency 5 7 8 3" xfId="11271" xr:uid="{85B36C36-3631-49A6-B4CC-EA8570A5A0FF}"/>
    <cellStyle name="Currency 5 7 9" xfId="4664" xr:uid="{00000000-0005-0000-0000-0000960D0000}"/>
    <cellStyle name="Currency 5 7 9 2" xfId="13106" xr:uid="{49277195-A2CE-4B34-A17E-4809C885E768}"/>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0 2 2" xfId="15173" xr:uid="{11C2A0B1-EF6B-406B-BB69-1A2CE4B7FEDF}"/>
    <cellStyle name="Normal 12 10 3" xfId="10955" xr:uid="{4E74181C-A1F5-4B10-B48D-EB5D35811001}"/>
    <cellStyle name="Normal 12 11" xfId="4665" xr:uid="{00000000-0005-0000-0000-0000CC0D0000}"/>
    <cellStyle name="Normal 12 11 2" xfId="13107" xr:uid="{1B697F0F-7B7D-42D2-A22E-0842C4E24694}"/>
    <cellStyle name="Normal 12 12" xfId="8889" xr:uid="{56246004-3FFE-43C6-A6BF-FD802EA3D277}"/>
    <cellStyle name="Normal 12 2" xfId="260" xr:uid="{00000000-0005-0000-0000-0000CD0D0000}"/>
    <cellStyle name="Normal 12 2 10" xfId="8890" xr:uid="{28937CD1-2EDC-477A-92C2-93BF9CE6587B}"/>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2 2 2" xfId="15669" xr:uid="{23301B41-4B14-440F-8828-225A0CE7DBB8}"/>
    <cellStyle name="Normal 12 2 2 2 2 2 3" xfId="11451" xr:uid="{2C10392D-4000-42AD-BBD5-EC71C7A1B9E3}"/>
    <cellStyle name="Normal 12 2 2 2 2 3" xfId="5082" xr:uid="{00000000-0005-0000-0000-0000D30D0000}"/>
    <cellStyle name="Normal 12 2 2 2 2 3 2" xfId="13524" xr:uid="{372DAC6F-463B-4CEB-9D7C-49D39E1D3B19}"/>
    <cellStyle name="Normal 12 2 2 2 2 4" xfId="9306" xr:uid="{71E454B8-21EB-455E-9A71-9AEF8BCE834D}"/>
    <cellStyle name="Normal 12 2 2 2 3" xfId="1186" xr:uid="{00000000-0005-0000-0000-0000D40D0000}"/>
    <cellStyle name="Normal 12 2 2 2 3 2" xfId="3417" xr:uid="{00000000-0005-0000-0000-0000D50D0000}"/>
    <cellStyle name="Normal 12 2 2 2 3 2 2" xfId="7640" xr:uid="{00000000-0005-0000-0000-0000D60D0000}"/>
    <cellStyle name="Normal 12 2 2 2 3 2 2 2" xfId="16082" xr:uid="{06FB0712-15BB-49EC-ADCD-984FBA0B37E3}"/>
    <cellStyle name="Normal 12 2 2 2 3 2 3" xfId="11864" xr:uid="{D395C5EF-83C0-4D20-8C66-E8BA73528618}"/>
    <cellStyle name="Normal 12 2 2 2 3 3" xfId="5495" xr:uid="{00000000-0005-0000-0000-0000D70D0000}"/>
    <cellStyle name="Normal 12 2 2 2 3 3 2" xfId="13937" xr:uid="{0AFA0E6B-898F-4C9B-8180-58DD9BCFC2F8}"/>
    <cellStyle name="Normal 12 2 2 2 3 4" xfId="9719" xr:uid="{BCF0053B-0C92-4BB9-B9EC-41C9518AA062}"/>
    <cellStyle name="Normal 12 2 2 2 4" xfId="1600" xr:uid="{00000000-0005-0000-0000-0000D80D0000}"/>
    <cellStyle name="Normal 12 2 2 2 4 2" xfId="3830" xr:uid="{00000000-0005-0000-0000-0000D90D0000}"/>
    <cellStyle name="Normal 12 2 2 2 4 2 2" xfId="8053" xr:uid="{00000000-0005-0000-0000-0000DA0D0000}"/>
    <cellStyle name="Normal 12 2 2 2 4 2 2 2" xfId="16495" xr:uid="{25E14DF7-2510-4C7F-9EFE-0E51EC3A71CF}"/>
    <cellStyle name="Normal 12 2 2 2 4 2 3" xfId="12277" xr:uid="{D1679C2A-FFA5-423A-A99B-21293754A9A8}"/>
    <cellStyle name="Normal 12 2 2 2 4 3" xfId="5908" xr:uid="{00000000-0005-0000-0000-0000DB0D0000}"/>
    <cellStyle name="Normal 12 2 2 2 4 3 2" xfId="14350" xr:uid="{92DD4413-7179-4651-990F-13A1E8DCE43D}"/>
    <cellStyle name="Normal 12 2 2 2 4 4" xfId="10132" xr:uid="{05859C0E-E060-456B-9221-05F1379D47EF}"/>
    <cellStyle name="Normal 12 2 2 2 5" xfId="2014" xr:uid="{00000000-0005-0000-0000-0000DC0D0000}"/>
    <cellStyle name="Normal 12 2 2 2 5 2" xfId="4243" xr:uid="{00000000-0005-0000-0000-0000DD0D0000}"/>
    <cellStyle name="Normal 12 2 2 2 5 2 2" xfId="8466" xr:uid="{00000000-0005-0000-0000-0000DE0D0000}"/>
    <cellStyle name="Normal 12 2 2 2 5 2 2 2" xfId="16908" xr:uid="{BD06B79E-5FD3-4194-B231-466437D3C926}"/>
    <cellStyle name="Normal 12 2 2 2 5 2 3" xfId="12690" xr:uid="{C0CBEAC1-12F0-4229-8873-27AFE3B0B70B}"/>
    <cellStyle name="Normal 12 2 2 2 5 3" xfId="6321" xr:uid="{00000000-0005-0000-0000-0000DF0D0000}"/>
    <cellStyle name="Normal 12 2 2 2 5 3 2" xfId="14763" xr:uid="{CAA37AB2-2E4A-4097-AD7D-E30FA3426D07}"/>
    <cellStyle name="Normal 12 2 2 2 5 4" xfId="10545" xr:uid="{59921948-E882-4E5F-BB9B-B10D453E8B19}"/>
    <cellStyle name="Normal 12 2 2 2 6" xfId="2450" xr:uid="{00000000-0005-0000-0000-0000E00D0000}"/>
    <cellStyle name="Normal 12 2 2 2 6 2" xfId="6734" xr:uid="{00000000-0005-0000-0000-0000E10D0000}"/>
    <cellStyle name="Normal 12 2 2 2 6 2 2" xfId="15176" xr:uid="{27E0CE39-4BCC-446C-92DE-CC7C57D7106A}"/>
    <cellStyle name="Normal 12 2 2 2 6 3" xfId="10958" xr:uid="{37644ADE-2091-41F7-BA5F-934054879FAC}"/>
    <cellStyle name="Normal 12 2 2 2 7" xfId="4668" xr:uid="{00000000-0005-0000-0000-0000E20D0000}"/>
    <cellStyle name="Normal 12 2 2 2 7 2" xfId="13110" xr:uid="{60344D83-FF4C-455E-8ED8-3E59E413FC38}"/>
    <cellStyle name="Normal 12 2 2 2 8" xfId="8892" xr:uid="{32053EA9-7327-440F-8B59-19E6F465B4CB}"/>
    <cellStyle name="Normal 12 2 2 3" xfId="762" xr:uid="{00000000-0005-0000-0000-0000E30D0000}"/>
    <cellStyle name="Normal 12 2 2 3 2" xfId="3003" xr:uid="{00000000-0005-0000-0000-0000E40D0000}"/>
    <cellStyle name="Normal 12 2 2 3 2 2" xfId="7226" xr:uid="{00000000-0005-0000-0000-0000E50D0000}"/>
    <cellStyle name="Normal 12 2 2 3 2 2 2" xfId="15668" xr:uid="{7F038D04-941E-4D1E-AE78-577B887B1280}"/>
    <cellStyle name="Normal 12 2 2 3 2 3" xfId="11450" xr:uid="{45F53712-1585-4F3A-8CD8-0924FCC63981}"/>
    <cellStyle name="Normal 12 2 2 3 3" xfId="5081" xr:uid="{00000000-0005-0000-0000-0000E60D0000}"/>
    <cellStyle name="Normal 12 2 2 3 3 2" xfId="13523" xr:uid="{38DA86FC-84E5-4A3A-8858-52F1A2118323}"/>
    <cellStyle name="Normal 12 2 2 3 4" xfId="9305" xr:uid="{71C82A1E-0165-4843-8126-564C952C78B6}"/>
    <cellStyle name="Normal 12 2 2 4" xfId="1185" xr:uid="{00000000-0005-0000-0000-0000E70D0000}"/>
    <cellStyle name="Normal 12 2 2 4 2" xfId="3416" xr:uid="{00000000-0005-0000-0000-0000E80D0000}"/>
    <cellStyle name="Normal 12 2 2 4 2 2" xfId="7639" xr:uid="{00000000-0005-0000-0000-0000E90D0000}"/>
    <cellStyle name="Normal 12 2 2 4 2 2 2" xfId="16081" xr:uid="{BBCFC595-8723-484F-879E-32D80F575654}"/>
    <cellStyle name="Normal 12 2 2 4 2 3" xfId="11863" xr:uid="{3E477894-7CFE-45C8-A904-00170110B2A3}"/>
    <cellStyle name="Normal 12 2 2 4 3" xfId="5494" xr:uid="{00000000-0005-0000-0000-0000EA0D0000}"/>
    <cellStyle name="Normal 12 2 2 4 3 2" xfId="13936" xr:uid="{E5BBD2AE-9C6D-49DC-B3E8-4C7F057E2B16}"/>
    <cellStyle name="Normal 12 2 2 4 4" xfId="9718" xr:uid="{DAE62A33-005D-4B09-AA7F-2CBEA3D716AE}"/>
    <cellStyle name="Normal 12 2 2 5" xfId="1599" xr:uid="{00000000-0005-0000-0000-0000EB0D0000}"/>
    <cellStyle name="Normal 12 2 2 5 2" xfId="3829" xr:uid="{00000000-0005-0000-0000-0000EC0D0000}"/>
    <cellStyle name="Normal 12 2 2 5 2 2" xfId="8052" xr:uid="{00000000-0005-0000-0000-0000ED0D0000}"/>
    <cellStyle name="Normal 12 2 2 5 2 2 2" xfId="16494" xr:uid="{652EF7EE-8999-4280-8D64-88C840283CBD}"/>
    <cellStyle name="Normal 12 2 2 5 2 3" xfId="12276" xr:uid="{78A41D04-0BEB-493F-9485-E5CC112E5F37}"/>
    <cellStyle name="Normal 12 2 2 5 3" xfId="5907" xr:uid="{00000000-0005-0000-0000-0000EE0D0000}"/>
    <cellStyle name="Normal 12 2 2 5 3 2" xfId="14349" xr:uid="{043282E1-60BB-4E52-9A1F-3CF8180FC2EB}"/>
    <cellStyle name="Normal 12 2 2 5 4" xfId="10131" xr:uid="{9D493B8B-E5EF-4BAA-B4F5-6BD72FED2ABD}"/>
    <cellStyle name="Normal 12 2 2 6" xfId="2013" xr:uid="{00000000-0005-0000-0000-0000EF0D0000}"/>
    <cellStyle name="Normal 12 2 2 6 2" xfId="4242" xr:uid="{00000000-0005-0000-0000-0000F00D0000}"/>
    <cellStyle name="Normal 12 2 2 6 2 2" xfId="8465" xr:uid="{00000000-0005-0000-0000-0000F10D0000}"/>
    <cellStyle name="Normal 12 2 2 6 2 2 2" xfId="16907" xr:uid="{CD8A8FA4-738E-4A5F-B24C-59C58B95A5B1}"/>
    <cellStyle name="Normal 12 2 2 6 2 3" xfId="12689" xr:uid="{00CD9CA2-7C4D-436D-BBA2-7ED43D893671}"/>
    <cellStyle name="Normal 12 2 2 6 3" xfId="6320" xr:uid="{00000000-0005-0000-0000-0000F20D0000}"/>
    <cellStyle name="Normal 12 2 2 6 3 2" xfId="14762" xr:uid="{A606DBF8-C8C7-4819-BDFB-43AB8AB022AA}"/>
    <cellStyle name="Normal 12 2 2 6 4" xfId="10544" xr:uid="{801D5952-B148-4C4B-AB57-413045D02788}"/>
    <cellStyle name="Normal 12 2 2 7" xfId="2449" xr:uid="{00000000-0005-0000-0000-0000F30D0000}"/>
    <cellStyle name="Normal 12 2 2 7 2" xfId="6733" xr:uid="{00000000-0005-0000-0000-0000F40D0000}"/>
    <cellStyle name="Normal 12 2 2 7 2 2" xfId="15175" xr:uid="{312FA488-D5D5-4AD9-AB99-3B0F71BF45E8}"/>
    <cellStyle name="Normal 12 2 2 7 3" xfId="10957" xr:uid="{06E362C8-F0D4-4376-B04D-EE4E66CB1987}"/>
    <cellStyle name="Normal 12 2 2 8" xfId="4667" xr:uid="{00000000-0005-0000-0000-0000F50D0000}"/>
    <cellStyle name="Normal 12 2 2 8 2" xfId="13109" xr:uid="{123713CD-8F5C-43CB-AF49-67D1C9B02AAC}"/>
    <cellStyle name="Normal 12 2 2 9" xfId="8891" xr:uid="{34F43B63-5993-4480-B5B7-31DED3D9C3E5}"/>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2 2 2" xfId="15670" xr:uid="{1D524546-4057-484B-9978-A2EBB4BE43CE}"/>
    <cellStyle name="Normal 12 2 3 2 2 3" xfId="11452" xr:uid="{B7EFF183-4005-4349-BC37-70C48A45D599}"/>
    <cellStyle name="Normal 12 2 3 2 3" xfId="5083" xr:uid="{00000000-0005-0000-0000-0000FA0D0000}"/>
    <cellStyle name="Normal 12 2 3 2 3 2" xfId="13525" xr:uid="{A13A391A-7FEA-44CC-BB7E-4E05D43388C7}"/>
    <cellStyle name="Normal 12 2 3 2 4" xfId="9307" xr:uid="{92C06EEC-E790-4CFC-B1C4-A1EC8D913F8A}"/>
    <cellStyle name="Normal 12 2 3 3" xfId="1187" xr:uid="{00000000-0005-0000-0000-0000FB0D0000}"/>
    <cellStyle name="Normal 12 2 3 3 2" xfId="3418" xr:uid="{00000000-0005-0000-0000-0000FC0D0000}"/>
    <cellStyle name="Normal 12 2 3 3 2 2" xfId="7641" xr:uid="{00000000-0005-0000-0000-0000FD0D0000}"/>
    <cellStyle name="Normal 12 2 3 3 2 2 2" xfId="16083" xr:uid="{F9DE0B76-5D6E-4E81-8721-EE97B62888A2}"/>
    <cellStyle name="Normal 12 2 3 3 2 3" xfId="11865" xr:uid="{EAAF66AA-CA89-4BC7-B464-3E12D5EA8A5A}"/>
    <cellStyle name="Normal 12 2 3 3 3" xfId="5496" xr:uid="{00000000-0005-0000-0000-0000FE0D0000}"/>
    <cellStyle name="Normal 12 2 3 3 3 2" xfId="13938" xr:uid="{172080FE-8DB3-4515-90E0-9A6ABDAD0E0E}"/>
    <cellStyle name="Normal 12 2 3 3 4" xfId="9720" xr:uid="{721E4AAC-2B3C-4A6B-BFD6-5E543572D16A}"/>
    <cellStyle name="Normal 12 2 3 4" xfId="1601" xr:uid="{00000000-0005-0000-0000-0000FF0D0000}"/>
    <cellStyle name="Normal 12 2 3 4 2" xfId="3831" xr:uid="{00000000-0005-0000-0000-0000000E0000}"/>
    <cellStyle name="Normal 12 2 3 4 2 2" xfId="8054" xr:uid="{00000000-0005-0000-0000-0000010E0000}"/>
    <cellStyle name="Normal 12 2 3 4 2 2 2" xfId="16496" xr:uid="{203712A7-07E0-4547-8F05-89E54149F7E8}"/>
    <cellStyle name="Normal 12 2 3 4 2 3" xfId="12278" xr:uid="{76B1B015-A297-44DF-ADF9-5BC9DDE7B6F2}"/>
    <cellStyle name="Normal 12 2 3 4 3" xfId="5909" xr:uid="{00000000-0005-0000-0000-0000020E0000}"/>
    <cellStyle name="Normal 12 2 3 4 3 2" xfId="14351" xr:uid="{F41B420C-6824-44D8-982C-B6FEBF666F13}"/>
    <cellStyle name="Normal 12 2 3 4 4" xfId="10133" xr:uid="{1818AF57-A55E-463D-8AD5-1A69F0E542EF}"/>
    <cellStyle name="Normal 12 2 3 5" xfId="2015" xr:uid="{00000000-0005-0000-0000-0000030E0000}"/>
    <cellStyle name="Normal 12 2 3 5 2" xfId="4244" xr:uid="{00000000-0005-0000-0000-0000040E0000}"/>
    <cellStyle name="Normal 12 2 3 5 2 2" xfId="8467" xr:uid="{00000000-0005-0000-0000-0000050E0000}"/>
    <cellStyle name="Normal 12 2 3 5 2 2 2" xfId="16909" xr:uid="{67F38154-1EEB-4C5E-9B84-322C122C90C0}"/>
    <cellStyle name="Normal 12 2 3 5 2 3" xfId="12691" xr:uid="{2C42454E-6B46-4E5B-AC0F-C1E9A3E4849C}"/>
    <cellStyle name="Normal 12 2 3 5 3" xfId="6322" xr:uid="{00000000-0005-0000-0000-0000060E0000}"/>
    <cellStyle name="Normal 12 2 3 5 3 2" xfId="14764" xr:uid="{B2EF739E-D024-4F40-B431-3D0CE9CD0D20}"/>
    <cellStyle name="Normal 12 2 3 5 4" xfId="10546" xr:uid="{C8136445-C44D-498D-BFEF-69797CE3604E}"/>
    <cellStyle name="Normal 12 2 3 6" xfId="2451" xr:uid="{00000000-0005-0000-0000-0000070E0000}"/>
    <cellStyle name="Normal 12 2 3 6 2" xfId="6735" xr:uid="{00000000-0005-0000-0000-0000080E0000}"/>
    <cellStyle name="Normal 12 2 3 6 2 2" xfId="15177" xr:uid="{E9897DBA-1C88-4CD5-AF2D-87D8354E8E28}"/>
    <cellStyle name="Normal 12 2 3 6 3" xfId="10959" xr:uid="{9EB67307-61B7-4119-B984-A4B552A8EF31}"/>
    <cellStyle name="Normal 12 2 3 7" xfId="4669" xr:uid="{00000000-0005-0000-0000-0000090E0000}"/>
    <cellStyle name="Normal 12 2 3 7 2" xfId="13111" xr:uid="{506A610A-E398-4145-BFD8-58150B5222B0}"/>
    <cellStyle name="Normal 12 2 3 8" xfId="8893" xr:uid="{F0EBC164-2EA7-4543-AEAA-867421ECCDB0}"/>
    <cellStyle name="Normal 12 2 4" xfId="761" xr:uid="{00000000-0005-0000-0000-00000A0E0000}"/>
    <cellStyle name="Normal 12 2 4 2" xfId="3002" xr:uid="{00000000-0005-0000-0000-00000B0E0000}"/>
    <cellStyle name="Normal 12 2 4 2 2" xfId="7225" xr:uid="{00000000-0005-0000-0000-00000C0E0000}"/>
    <cellStyle name="Normal 12 2 4 2 2 2" xfId="15667" xr:uid="{FBE78668-3F22-45F1-9160-5C12C814E494}"/>
    <cellStyle name="Normal 12 2 4 2 3" xfId="11449" xr:uid="{04543F3D-A3B4-4BDD-BAE4-3FBCE3C7FFF9}"/>
    <cellStyle name="Normal 12 2 4 3" xfId="5080" xr:uid="{00000000-0005-0000-0000-00000D0E0000}"/>
    <cellStyle name="Normal 12 2 4 3 2" xfId="13522" xr:uid="{3FA016D5-7467-45CF-AC26-F7CD65FEE034}"/>
    <cellStyle name="Normal 12 2 4 4" xfId="9304" xr:uid="{E9622517-E68F-4B57-A83D-1685760E6EC0}"/>
    <cellStyle name="Normal 12 2 5" xfId="1184" xr:uid="{00000000-0005-0000-0000-00000E0E0000}"/>
    <cellStyle name="Normal 12 2 5 2" xfId="3415" xr:uid="{00000000-0005-0000-0000-00000F0E0000}"/>
    <cellStyle name="Normal 12 2 5 2 2" xfId="7638" xr:uid="{00000000-0005-0000-0000-0000100E0000}"/>
    <cellStyle name="Normal 12 2 5 2 2 2" xfId="16080" xr:uid="{275ADA34-72A3-4B69-ABA0-B8B67FB3EEFE}"/>
    <cellStyle name="Normal 12 2 5 2 3" xfId="11862" xr:uid="{E7CB53BF-AFA6-4DDC-AF06-E45900C6E27D}"/>
    <cellStyle name="Normal 12 2 5 3" xfId="5493" xr:uid="{00000000-0005-0000-0000-0000110E0000}"/>
    <cellStyle name="Normal 12 2 5 3 2" xfId="13935" xr:uid="{C2312F2C-9531-4CD6-9AC6-7ED4B570758C}"/>
    <cellStyle name="Normal 12 2 5 4" xfId="9717" xr:uid="{AB14B880-9877-4A5F-A7A3-128D588875D9}"/>
    <cellStyle name="Normal 12 2 6" xfId="1598" xr:uid="{00000000-0005-0000-0000-0000120E0000}"/>
    <cellStyle name="Normal 12 2 6 2" xfId="3828" xr:uid="{00000000-0005-0000-0000-0000130E0000}"/>
    <cellStyle name="Normal 12 2 6 2 2" xfId="8051" xr:uid="{00000000-0005-0000-0000-0000140E0000}"/>
    <cellStyle name="Normal 12 2 6 2 2 2" xfId="16493" xr:uid="{9C59D822-6A38-41A1-A179-49DC4B069224}"/>
    <cellStyle name="Normal 12 2 6 2 3" xfId="12275" xr:uid="{4716E16D-A072-4496-B343-0263D7D744DB}"/>
    <cellStyle name="Normal 12 2 6 3" xfId="5906" xr:uid="{00000000-0005-0000-0000-0000150E0000}"/>
    <cellStyle name="Normal 12 2 6 3 2" xfId="14348" xr:uid="{F449E9F6-B36E-44E5-8530-AAEA3B5EE640}"/>
    <cellStyle name="Normal 12 2 6 4" xfId="10130" xr:uid="{3E561822-CF0E-433B-A250-FE44A70B1ADB}"/>
    <cellStyle name="Normal 12 2 7" xfId="2012" xr:uid="{00000000-0005-0000-0000-0000160E0000}"/>
    <cellStyle name="Normal 12 2 7 2" xfId="4241" xr:uid="{00000000-0005-0000-0000-0000170E0000}"/>
    <cellStyle name="Normal 12 2 7 2 2" xfId="8464" xr:uid="{00000000-0005-0000-0000-0000180E0000}"/>
    <cellStyle name="Normal 12 2 7 2 2 2" xfId="16906" xr:uid="{7B263F1C-20EA-4387-B4FF-12031C0C60D8}"/>
    <cellStyle name="Normal 12 2 7 2 3" xfId="12688" xr:uid="{6B91ECE6-771C-46A9-8B1D-CC3A07756AFB}"/>
    <cellStyle name="Normal 12 2 7 3" xfId="6319" xr:uid="{00000000-0005-0000-0000-0000190E0000}"/>
    <cellStyle name="Normal 12 2 7 3 2" xfId="14761" xr:uid="{7A6EEFD5-DB83-4958-AA87-F8AB008668EA}"/>
    <cellStyle name="Normal 12 2 7 4" xfId="10543" xr:uid="{48B7FC99-42D5-4771-A67E-0BD5DAB160C1}"/>
    <cellStyle name="Normal 12 2 8" xfId="2448" xr:uid="{00000000-0005-0000-0000-00001A0E0000}"/>
    <cellStyle name="Normal 12 2 8 2" xfId="6732" xr:uid="{00000000-0005-0000-0000-00001B0E0000}"/>
    <cellStyle name="Normal 12 2 8 2 2" xfId="15174" xr:uid="{B2F5A19B-C170-4010-A528-EC4E4D385071}"/>
    <cellStyle name="Normal 12 2 8 3" xfId="10956" xr:uid="{553F66CD-D427-4A8C-8BF3-70997D5A7AC3}"/>
    <cellStyle name="Normal 12 2 9" xfId="4666" xr:uid="{00000000-0005-0000-0000-00001C0E0000}"/>
    <cellStyle name="Normal 12 2 9 2" xfId="13108" xr:uid="{1CFC0772-E24A-42CB-8DAA-8199FB79A348}"/>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2 2 2" xfId="15672" xr:uid="{87D8C4CB-304F-4E39-AE9B-6FE1161B30DC}"/>
    <cellStyle name="Normal 12 3 2 2 2 3" xfId="11454" xr:uid="{F746F500-CB60-4773-9494-BE8CC7D3AD07}"/>
    <cellStyle name="Normal 12 3 2 2 3" xfId="5085" xr:uid="{00000000-0005-0000-0000-0000220E0000}"/>
    <cellStyle name="Normal 12 3 2 2 3 2" xfId="13527" xr:uid="{FB1BC58C-23D1-4765-8F4A-4BFEDB235483}"/>
    <cellStyle name="Normal 12 3 2 2 4" xfId="9309" xr:uid="{2910C335-9D3D-40F4-90C5-1CE282E3EEBC}"/>
    <cellStyle name="Normal 12 3 2 3" xfId="1189" xr:uid="{00000000-0005-0000-0000-0000230E0000}"/>
    <cellStyle name="Normal 12 3 2 3 2" xfId="3420" xr:uid="{00000000-0005-0000-0000-0000240E0000}"/>
    <cellStyle name="Normal 12 3 2 3 2 2" xfId="7643" xr:uid="{00000000-0005-0000-0000-0000250E0000}"/>
    <cellStyle name="Normal 12 3 2 3 2 2 2" xfId="16085" xr:uid="{24C64847-54AA-40A7-82DE-FC8F6D91AF15}"/>
    <cellStyle name="Normal 12 3 2 3 2 3" xfId="11867" xr:uid="{4D5CC887-C6A9-4EDB-9FAC-447CC46D0770}"/>
    <cellStyle name="Normal 12 3 2 3 3" xfId="5498" xr:uid="{00000000-0005-0000-0000-0000260E0000}"/>
    <cellStyle name="Normal 12 3 2 3 3 2" xfId="13940" xr:uid="{258E0A50-003E-4F08-9868-86E041319320}"/>
    <cellStyle name="Normal 12 3 2 3 4" xfId="9722" xr:uid="{00896F37-9062-434E-8FF2-E0DEFA0714E2}"/>
    <cellStyle name="Normal 12 3 2 4" xfId="1603" xr:uid="{00000000-0005-0000-0000-0000270E0000}"/>
    <cellStyle name="Normal 12 3 2 4 2" xfId="3833" xr:uid="{00000000-0005-0000-0000-0000280E0000}"/>
    <cellStyle name="Normal 12 3 2 4 2 2" xfId="8056" xr:uid="{00000000-0005-0000-0000-0000290E0000}"/>
    <cellStyle name="Normal 12 3 2 4 2 2 2" xfId="16498" xr:uid="{AE675124-6E25-491E-B9D1-9B29C1185613}"/>
    <cellStyle name="Normal 12 3 2 4 2 3" xfId="12280" xr:uid="{85BF34B2-3705-44A4-A4AE-7EBF42EB1AB5}"/>
    <cellStyle name="Normal 12 3 2 4 3" xfId="5911" xr:uid="{00000000-0005-0000-0000-00002A0E0000}"/>
    <cellStyle name="Normal 12 3 2 4 3 2" xfId="14353" xr:uid="{1C32F64F-C79D-4534-8B4C-DC827E4FB8DA}"/>
    <cellStyle name="Normal 12 3 2 4 4" xfId="10135" xr:uid="{D5D1A315-88C4-4AC5-9131-5B983EB7B9E0}"/>
    <cellStyle name="Normal 12 3 2 5" xfId="2017" xr:uid="{00000000-0005-0000-0000-00002B0E0000}"/>
    <cellStyle name="Normal 12 3 2 5 2" xfId="4246" xr:uid="{00000000-0005-0000-0000-00002C0E0000}"/>
    <cellStyle name="Normal 12 3 2 5 2 2" xfId="8469" xr:uid="{00000000-0005-0000-0000-00002D0E0000}"/>
    <cellStyle name="Normal 12 3 2 5 2 2 2" xfId="16911" xr:uid="{C3BEB3E4-0B5F-48B0-8D34-A80272EF8B18}"/>
    <cellStyle name="Normal 12 3 2 5 2 3" xfId="12693" xr:uid="{C32CBB89-B807-4583-A9D7-1D53903DF0EE}"/>
    <cellStyle name="Normal 12 3 2 5 3" xfId="6324" xr:uid="{00000000-0005-0000-0000-00002E0E0000}"/>
    <cellStyle name="Normal 12 3 2 5 3 2" xfId="14766" xr:uid="{27B3D7E6-7A86-4A7B-9A6F-4CB56B51CA43}"/>
    <cellStyle name="Normal 12 3 2 5 4" xfId="10548" xr:uid="{1A99F4F3-326B-42B5-8B2D-B84BF01D6454}"/>
    <cellStyle name="Normal 12 3 2 6" xfId="2453" xr:uid="{00000000-0005-0000-0000-00002F0E0000}"/>
    <cellStyle name="Normal 12 3 2 6 2" xfId="6737" xr:uid="{00000000-0005-0000-0000-0000300E0000}"/>
    <cellStyle name="Normal 12 3 2 6 2 2" xfId="15179" xr:uid="{7570E3A1-1526-4FDB-A7BD-00FD6E7C85BA}"/>
    <cellStyle name="Normal 12 3 2 6 3" xfId="10961" xr:uid="{9588AFEB-1774-4EB3-A139-5D165273EAAB}"/>
    <cellStyle name="Normal 12 3 2 7" xfId="4671" xr:uid="{00000000-0005-0000-0000-0000310E0000}"/>
    <cellStyle name="Normal 12 3 2 7 2" xfId="13113" xr:uid="{D9A3F66D-DFA7-4B5E-929A-74901843AD5F}"/>
    <cellStyle name="Normal 12 3 2 8" xfId="8895" xr:uid="{F28006B1-5D20-46C2-98BC-98E2AC9DE305}"/>
    <cellStyle name="Normal 12 3 3" xfId="765" xr:uid="{00000000-0005-0000-0000-0000320E0000}"/>
    <cellStyle name="Normal 12 3 3 2" xfId="3006" xr:uid="{00000000-0005-0000-0000-0000330E0000}"/>
    <cellStyle name="Normal 12 3 3 2 2" xfId="7229" xr:uid="{00000000-0005-0000-0000-0000340E0000}"/>
    <cellStyle name="Normal 12 3 3 2 2 2" xfId="15671" xr:uid="{65A4C998-2D0A-4908-BDB8-FA21E7511AAB}"/>
    <cellStyle name="Normal 12 3 3 2 3" xfId="11453" xr:uid="{18017E66-F265-4EBA-9FEB-4CE70A1C2C3E}"/>
    <cellStyle name="Normal 12 3 3 3" xfId="5084" xr:uid="{00000000-0005-0000-0000-0000350E0000}"/>
    <cellStyle name="Normal 12 3 3 3 2" xfId="13526" xr:uid="{1D9BA018-9AE1-49E1-AC53-762141587155}"/>
    <cellStyle name="Normal 12 3 3 4" xfId="9308" xr:uid="{121C33EF-6A60-4905-8248-177811901A00}"/>
    <cellStyle name="Normal 12 3 4" xfId="1188" xr:uid="{00000000-0005-0000-0000-0000360E0000}"/>
    <cellStyle name="Normal 12 3 4 2" xfId="3419" xr:uid="{00000000-0005-0000-0000-0000370E0000}"/>
    <cellStyle name="Normal 12 3 4 2 2" xfId="7642" xr:uid="{00000000-0005-0000-0000-0000380E0000}"/>
    <cellStyle name="Normal 12 3 4 2 2 2" xfId="16084" xr:uid="{1CDD9914-8F45-4B52-9F47-FEF7BC51CF17}"/>
    <cellStyle name="Normal 12 3 4 2 3" xfId="11866" xr:uid="{A522BED2-CEDF-41C2-89C6-D93FA17F999B}"/>
    <cellStyle name="Normal 12 3 4 3" xfId="5497" xr:uid="{00000000-0005-0000-0000-0000390E0000}"/>
    <cellStyle name="Normal 12 3 4 3 2" xfId="13939" xr:uid="{793901EE-8734-4987-8AF7-7B282CFA9A2E}"/>
    <cellStyle name="Normal 12 3 4 4" xfId="9721" xr:uid="{65CE8A47-3460-4655-83AD-49A838C5BA9F}"/>
    <cellStyle name="Normal 12 3 5" xfId="1602" xr:uid="{00000000-0005-0000-0000-00003A0E0000}"/>
    <cellStyle name="Normal 12 3 5 2" xfId="3832" xr:uid="{00000000-0005-0000-0000-00003B0E0000}"/>
    <cellStyle name="Normal 12 3 5 2 2" xfId="8055" xr:uid="{00000000-0005-0000-0000-00003C0E0000}"/>
    <cellStyle name="Normal 12 3 5 2 2 2" xfId="16497" xr:uid="{F0B45EDD-3C7B-4075-A6EF-740546FADCC7}"/>
    <cellStyle name="Normal 12 3 5 2 3" xfId="12279" xr:uid="{4BD1562D-EF1F-4ECD-9579-B4750441B5D3}"/>
    <cellStyle name="Normal 12 3 5 3" xfId="5910" xr:uid="{00000000-0005-0000-0000-00003D0E0000}"/>
    <cellStyle name="Normal 12 3 5 3 2" xfId="14352" xr:uid="{DD6E926D-B26C-4E11-9EF8-3F4F6D0348EB}"/>
    <cellStyle name="Normal 12 3 5 4" xfId="10134" xr:uid="{FBC3D0F4-82DD-4A24-9651-B5506C0F8684}"/>
    <cellStyle name="Normal 12 3 6" xfId="2016" xr:uid="{00000000-0005-0000-0000-00003E0E0000}"/>
    <cellStyle name="Normal 12 3 6 2" xfId="4245" xr:uid="{00000000-0005-0000-0000-00003F0E0000}"/>
    <cellStyle name="Normal 12 3 6 2 2" xfId="8468" xr:uid="{00000000-0005-0000-0000-0000400E0000}"/>
    <cellStyle name="Normal 12 3 6 2 2 2" xfId="16910" xr:uid="{20239BC3-5EA5-4B63-8AA0-18BB0D834F73}"/>
    <cellStyle name="Normal 12 3 6 2 3" xfId="12692" xr:uid="{7A9334C1-D1FC-4B1D-BE60-B0038CBF42D6}"/>
    <cellStyle name="Normal 12 3 6 3" xfId="6323" xr:uid="{00000000-0005-0000-0000-0000410E0000}"/>
    <cellStyle name="Normal 12 3 6 3 2" xfId="14765" xr:uid="{FBB44F80-6740-4102-B715-EA3B22768459}"/>
    <cellStyle name="Normal 12 3 6 4" xfId="10547" xr:uid="{94FF7FF0-BE9C-4FDE-8531-7A07264E5CA5}"/>
    <cellStyle name="Normal 12 3 7" xfId="2452" xr:uid="{00000000-0005-0000-0000-0000420E0000}"/>
    <cellStyle name="Normal 12 3 7 2" xfId="6736" xr:uid="{00000000-0005-0000-0000-0000430E0000}"/>
    <cellStyle name="Normal 12 3 7 2 2" xfId="15178" xr:uid="{F7B3CD55-E542-4674-8157-D9D567CADD34}"/>
    <cellStyle name="Normal 12 3 7 3" xfId="10960" xr:uid="{A182477C-D639-4C06-93F6-FE8D595DB10F}"/>
    <cellStyle name="Normal 12 3 8" xfId="4670" xr:uid="{00000000-0005-0000-0000-0000440E0000}"/>
    <cellStyle name="Normal 12 3 8 2" xfId="13112" xr:uid="{9BF59741-CEE5-480F-B7BC-153B6AA7E917}"/>
    <cellStyle name="Normal 12 3 9" xfId="8894" xr:uid="{F54C99BE-0100-443E-A065-7013A0AE6077}"/>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2 2 2" xfId="15673" xr:uid="{27612B14-5141-4424-861F-5A98BF9EAA2E}"/>
    <cellStyle name="Normal 12 4 2 2 3" xfId="11455" xr:uid="{44BAAF10-DB8C-4434-A7E7-945C9D0DC4BF}"/>
    <cellStyle name="Normal 12 4 2 3" xfId="5086" xr:uid="{00000000-0005-0000-0000-0000490E0000}"/>
    <cellStyle name="Normal 12 4 2 3 2" xfId="13528" xr:uid="{4BC16B5C-F4DE-4C81-B227-789BCFBAD040}"/>
    <cellStyle name="Normal 12 4 2 4" xfId="9310" xr:uid="{2272FAD5-6E55-4337-883A-4D73C83865F2}"/>
    <cellStyle name="Normal 12 4 3" xfId="1190" xr:uid="{00000000-0005-0000-0000-00004A0E0000}"/>
    <cellStyle name="Normal 12 4 3 2" xfId="3421" xr:uid="{00000000-0005-0000-0000-00004B0E0000}"/>
    <cellStyle name="Normal 12 4 3 2 2" xfId="7644" xr:uid="{00000000-0005-0000-0000-00004C0E0000}"/>
    <cellStyle name="Normal 12 4 3 2 2 2" xfId="16086" xr:uid="{642D2492-E8F2-4DB0-9085-D4C706320DDD}"/>
    <cellStyle name="Normal 12 4 3 2 3" xfId="11868" xr:uid="{B30AFBC8-2890-4E25-92C1-5F167BFD85BE}"/>
    <cellStyle name="Normal 12 4 3 3" xfId="5499" xr:uid="{00000000-0005-0000-0000-00004D0E0000}"/>
    <cellStyle name="Normal 12 4 3 3 2" xfId="13941" xr:uid="{8522DAC2-DF38-48FD-94E5-01524C09AA97}"/>
    <cellStyle name="Normal 12 4 3 4" xfId="9723" xr:uid="{BEA639BA-0FB4-400F-811F-1A27C4A9D637}"/>
    <cellStyle name="Normal 12 4 4" xfId="1604" xr:uid="{00000000-0005-0000-0000-00004E0E0000}"/>
    <cellStyle name="Normal 12 4 4 2" xfId="3834" xr:uid="{00000000-0005-0000-0000-00004F0E0000}"/>
    <cellStyle name="Normal 12 4 4 2 2" xfId="8057" xr:uid="{00000000-0005-0000-0000-0000500E0000}"/>
    <cellStyle name="Normal 12 4 4 2 2 2" xfId="16499" xr:uid="{2F7337BC-E51B-43C6-8FFB-559EEE2F8973}"/>
    <cellStyle name="Normal 12 4 4 2 3" xfId="12281" xr:uid="{F6B353DA-B535-4400-AB9A-902915658839}"/>
    <cellStyle name="Normal 12 4 4 3" xfId="5912" xr:uid="{00000000-0005-0000-0000-0000510E0000}"/>
    <cellStyle name="Normal 12 4 4 3 2" xfId="14354" xr:uid="{F7AACF1F-5773-428B-9BC6-36DEC1D5D640}"/>
    <cellStyle name="Normal 12 4 4 4" xfId="10136" xr:uid="{5758135A-31CA-416A-A7A3-558C5F1769FA}"/>
    <cellStyle name="Normal 12 4 5" xfId="2018" xr:uid="{00000000-0005-0000-0000-0000520E0000}"/>
    <cellStyle name="Normal 12 4 5 2" xfId="4247" xr:uid="{00000000-0005-0000-0000-0000530E0000}"/>
    <cellStyle name="Normal 12 4 5 2 2" xfId="8470" xr:uid="{00000000-0005-0000-0000-0000540E0000}"/>
    <cellStyle name="Normal 12 4 5 2 2 2" xfId="16912" xr:uid="{D8BD1FDD-BD79-41A0-919B-D36512AD24AC}"/>
    <cellStyle name="Normal 12 4 5 2 3" xfId="12694" xr:uid="{FA03CBD2-C6C4-44C2-9DDB-0968F36D43A9}"/>
    <cellStyle name="Normal 12 4 5 3" xfId="6325" xr:uid="{00000000-0005-0000-0000-0000550E0000}"/>
    <cellStyle name="Normal 12 4 5 3 2" xfId="14767" xr:uid="{77D4B8CC-C938-4AA3-9DC5-6A469D72988C}"/>
    <cellStyle name="Normal 12 4 5 4" xfId="10549" xr:uid="{3B2E84F4-76C7-430E-956F-A8A14A302E63}"/>
    <cellStyle name="Normal 12 4 6" xfId="2454" xr:uid="{00000000-0005-0000-0000-0000560E0000}"/>
    <cellStyle name="Normal 12 4 6 2" xfId="6738" xr:uid="{00000000-0005-0000-0000-0000570E0000}"/>
    <cellStyle name="Normal 12 4 6 2 2" xfId="15180" xr:uid="{5647D847-AACE-4C7B-B97B-0ABECE675866}"/>
    <cellStyle name="Normal 12 4 6 3" xfId="10962" xr:uid="{BF900ED3-28A9-4E5E-851C-706CA462176C}"/>
    <cellStyle name="Normal 12 4 7" xfId="4672" xr:uid="{00000000-0005-0000-0000-0000580E0000}"/>
    <cellStyle name="Normal 12 4 7 2" xfId="13114" xr:uid="{747CE73B-3D1D-4538-82D3-451B414B278C}"/>
    <cellStyle name="Normal 12 4 8" xfId="8896" xr:uid="{D17BA7A4-B79C-42C2-8104-3C3B78277934}"/>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2 2 2" xfId="15666" xr:uid="{F30B337F-D6A2-4B41-859A-E7BAC4F6D1AB}"/>
    <cellStyle name="Normal 12 6 2 3" xfId="11448" xr:uid="{75161C0F-46B2-4F6A-B3F3-363892097A4C}"/>
    <cellStyle name="Normal 12 6 3" xfId="5079" xr:uid="{00000000-0005-0000-0000-00005D0E0000}"/>
    <cellStyle name="Normal 12 6 3 2" xfId="13521" xr:uid="{5DE6A25E-4047-4754-86B6-513B0F17E70E}"/>
    <cellStyle name="Normal 12 6 4" xfId="9303" xr:uid="{E0FBFB1B-F6D2-4EAE-8C50-7ADA6EE69380}"/>
    <cellStyle name="Normal 12 7" xfId="1183" xr:uid="{00000000-0005-0000-0000-00005E0E0000}"/>
    <cellStyle name="Normal 12 7 2" xfId="3414" xr:uid="{00000000-0005-0000-0000-00005F0E0000}"/>
    <cellStyle name="Normal 12 7 2 2" xfId="7637" xr:uid="{00000000-0005-0000-0000-0000600E0000}"/>
    <cellStyle name="Normal 12 7 2 2 2" xfId="16079" xr:uid="{BBAC0C86-337E-4C6D-BA8A-7D543DFC0BA0}"/>
    <cellStyle name="Normal 12 7 2 3" xfId="11861" xr:uid="{ED938B87-E5C1-4C19-A9C3-3DDF54BF5FE2}"/>
    <cellStyle name="Normal 12 7 3" xfId="5492" xr:uid="{00000000-0005-0000-0000-0000610E0000}"/>
    <cellStyle name="Normal 12 7 3 2" xfId="13934" xr:uid="{162DAF93-4E7C-4F9D-BA17-6FE5C8A108B6}"/>
    <cellStyle name="Normal 12 7 4" xfId="9716" xr:uid="{48213755-914D-4F91-8093-076DC49A1547}"/>
    <cellStyle name="Normal 12 8" xfId="1597" xr:uid="{00000000-0005-0000-0000-0000620E0000}"/>
    <cellStyle name="Normal 12 8 2" xfId="3827" xr:uid="{00000000-0005-0000-0000-0000630E0000}"/>
    <cellStyle name="Normal 12 8 2 2" xfId="8050" xr:uid="{00000000-0005-0000-0000-0000640E0000}"/>
    <cellStyle name="Normal 12 8 2 2 2" xfId="16492" xr:uid="{485E0F46-8EFB-4AEB-B302-2A79E8FC5D6F}"/>
    <cellStyle name="Normal 12 8 2 3" xfId="12274" xr:uid="{9144FCE7-F47E-4B78-9AA9-339935F6B7F2}"/>
    <cellStyle name="Normal 12 8 3" xfId="5905" xr:uid="{00000000-0005-0000-0000-0000650E0000}"/>
    <cellStyle name="Normal 12 8 3 2" xfId="14347" xr:uid="{6B56274A-25D7-4818-A662-FBC0A87BBFAA}"/>
    <cellStyle name="Normal 12 8 4" xfId="10129" xr:uid="{893B79D2-424B-401C-89C3-F655EC61F149}"/>
    <cellStyle name="Normal 12 9" xfId="2011" xr:uid="{00000000-0005-0000-0000-0000660E0000}"/>
    <cellStyle name="Normal 12 9 2" xfId="4240" xr:uid="{00000000-0005-0000-0000-0000670E0000}"/>
    <cellStyle name="Normal 12 9 2 2" xfId="8463" xr:uid="{00000000-0005-0000-0000-0000680E0000}"/>
    <cellStyle name="Normal 12 9 2 2 2" xfId="16905" xr:uid="{4A5F14DC-340F-450A-923B-A52B533670C9}"/>
    <cellStyle name="Normal 12 9 2 3" xfId="12687" xr:uid="{615A13F4-5C95-4174-815F-828A71B5F9B6}"/>
    <cellStyle name="Normal 12 9 3" xfId="6318" xr:uid="{00000000-0005-0000-0000-0000690E0000}"/>
    <cellStyle name="Normal 12 9 3 2" xfId="14760" xr:uid="{71DC2454-5BDC-494F-A812-8046B74EF2BD}"/>
    <cellStyle name="Normal 12 9 4" xfId="10542" xr:uid="{E9997D25-0CA0-469F-9E2E-4B0134B79158}"/>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2 2 2" xfId="15674" xr:uid="{624912CD-4148-47B9-9E46-1D36B9E7FE65}"/>
    <cellStyle name="Normal 14 2 2 3" xfId="11456" xr:uid="{3CC5C4D0-22B0-4F33-9CED-8A34706E3C61}"/>
    <cellStyle name="Normal 14 2 3" xfId="5087" xr:uid="{00000000-0005-0000-0000-0000700E0000}"/>
    <cellStyle name="Normal 14 2 3 2" xfId="13529" xr:uid="{FDA898F0-9BF5-48C8-98EE-BAE34BD11F43}"/>
    <cellStyle name="Normal 14 2 4" xfId="9311" xr:uid="{1BBC9B16-A177-4F8A-8B6E-B742E44C7A36}"/>
    <cellStyle name="Normal 14 3" xfId="1191" xr:uid="{00000000-0005-0000-0000-0000710E0000}"/>
    <cellStyle name="Normal 14 3 2" xfId="3422" xr:uid="{00000000-0005-0000-0000-0000720E0000}"/>
    <cellStyle name="Normal 14 3 2 2" xfId="7645" xr:uid="{00000000-0005-0000-0000-0000730E0000}"/>
    <cellStyle name="Normal 14 3 2 2 2" xfId="16087" xr:uid="{C70B3B9B-1A4C-4DB1-8800-8DABF0F1285D}"/>
    <cellStyle name="Normal 14 3 2 3" xfId="11869" xr:uid="{00C849CA-28AB-4DFB-B425-2F1126C27B9F}"/>
    <cellStyle name="Normal 14 3 3" xfId="5500" xr:uid="{00000000-0005-0000-0000-0000740E0000}"/>
    <cellStyle name="Normal 14 3 3 2" xfId="13942" xr:uid="{B972A6EB-9311-49FC-8227-2009E445E3D1}"/>
    <cellStyle name="Normal 14 3 4" xfId="9724" xr:uid="{F664F297-7488-41EF-82C9-EE0325846F65}"/>
    <cellStyle name="Normal 14 4" xfId="1605" xr:uid="{00000000-0005-0000-0000-0000750E0000}"/>
    <cellStyle name="Normal 14 4 2" xfId="3835" xr:uid="{00000000-0005-0000-0000-0000760E0000}"/>
    <cellStyle name="Normal 14 4 2 2" xfId="8058" xr:uid="{00000000-0005-0000-0000-0000770E0000}"/>
    <cellStyle name="Normal 14 4 2 2 2" xfId="16500" xr:uid="{58C9699D-589B-4DD2-9811-8F0AC172C6A5}"/>
    <cellStyle name="Normal 14 4 2 3" xfId="12282" xr:uid="{FBBDEB21-7230-464D-A7EA-849FD5FC8FF0}"/>
    <cellStyle name="Normal 14 4 3" xfId="5913" xr:uid="{00000000-0005-0000-0000-0000780E0000}"/>
    <cellStyle name="Normal 14 4 3 2" xfId="14355" xr:uid="{0ABE1220-BB71-4EDC-B2F3-3E075EA7D02C}"/>
    <cellStyle name="Normal 14 4 4" xfId="10137" xr:uid="{8C3ECE05-D75B-4DCC-BD5B-1BF661DA5419}"/>
    <cellStyle name="Normal 14 5" xfId="2019" xr:uid="{00000000-0005-0000-0000-0000790E0000}"/>
    <cellStyle name="Normal 14 5 2" xfId="4248" xr:uid="{00000000-0005-0000-0000-00007A0E0000}"/>
    <cellStyle name="Normal 14 5 2 2" xfId="8471" xr:uid="{00000000-0005-0000-0000-00007B0E0000}"/>
    <cellStyle name="Normal 14 5 2 2 2" xfId="16913" xr:uid="{6D8BFE41-1963-4179-87C3-088AD5544873}"/>
    <cellStyle name="Normal 14 5 2 3" xfId="12695" xr:uid="{52120781-741A-4D47-B69E-8B16CFF8E198}"/>
    <cellStyle name="Normal 14 5 3" xfId="6326" xr:uid="{00000000-0005-0000-0000-00007C0E0000}"/>
    <cellStyle name="Normal 14 5 3 2" xfId="14768" xr:uid="{A4570280-AEDB-4E37-AED8-8F7ED86A0A3A}"/>
    <cellStyle name="Normal 14 5 4" xfId="10550" xr:uid="{6D5FD2A5-4586-4EE9-A970-C01F7833C547}"/>
    <cellStyle name="Normal 14 6" xfId="2455" xr:uid="{00000000-0005-0000-0000-00007D0E0000}"/>
    <cellStyle name="Normal 14 6 2" xfId="6739" xr:uid="{00000000-0005-0000-0000-00007E0E0000}"/>
    <cellStyle name="Normal 14 6 2 2" xfId="15181" xr:uid="{EA714100-200F-4488-B733-2E8A0D4D562A}"/>
    <cellStyle name="Normal 14 6 3" xfId="10963" xr:uid="{AC24C2B7-4DD6-4795-A829-29027EC8AB20}"/>
    <cellStyle name="Normal 14 7" xfId="4673" xr:uid="{00000000-0005-0000-0000-00007F0E0000}"/>
    <cellStyle name="Normal 14 7 2" xfId="13115" xr:uid="{C0C50CDB-CAB4-4A1A-96CF-A7A0B9E15E1C}"/>
    <cellStyle name="Normal 14 8" xfId="8897" xr:uid="{1C986857-789B-485F-98B3-D56658A39815}"/>
    <cellStyle name="Normal 15" xfId="4496" xr:uid="{00000000-0005-0000-0000-0000800E0000}"/>
    <cellStyle name="Normal 15 2" xfId="12941" xr:uid="{67626563-76D7-48FF-82AB-55219225A4AB}"/>
    <cellStyle name="Normal 16" xfId="4500" xr:uid="{00000000-0005-0000-0000-0000810E0000}"/>
    <cellStyle name="Normal 16 2" xfId="8716" xr:uid="{00000000-0005-0000-0000-0000820E0000}"/>
    <cellStyle name="Normal 16 2 2" xfId="17158" xr:uid="{5725277A-A995-4C22-A93E-205C2BFDE5D7}"/>
    <cellStyle name="Normal 16 3" xfId="8719" xr:uid="{3DE1BEEB-61FA-4094-B10F-9E0444F68763}"/>
    <cellStyle name="Normal 16 3 2" xfId="8723" xr:uid="{FE0BC069-4698-40B2-814D-8E09719245E9}"/>
    <cellStyle name="Normal 16 3 2 2" xfId="8726" xr:uid="{D3E9609F-293A-4CFC-B194-1FF2F92D621D}"/>
    <cellStyle name="Normal 16 3 2 2 2" xfId="17167" xr:uid="{3DCC15EC-98B4-4207-BF8A-3588BE91265F}"/>
    <cellStyle name="Normal 16 3 2 3" xfId="17164" xr:uid="{4B7D03ED-2D28-4BA7-9D09-6B1E5E122C99}"/>
    <cellStyle name="Normal 16 3 3" xfId="17161" xr:uid="{3ACBAE56-8088-400C-9F40-42B1D58AE761}"/>
    <cellStyle name="Normal 16 4" xfId="12944" xr:uid="{733CD5A2-7B1F-494C-9D7B-672BB311856A}"/>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2 2 2" xfId="16914" xr:uid="{1059CE07-58BE-4EE4-ACBA-E9F31252863F}"/>
    <cellStyle name="Normal 2 4 2 10 2 3" xfId="12696" xr:uid="{D0CE9460-5C5A-4F06-AFB3-298A7EB9B190}"/>
    <cellStyle name="Normal 2 4 2 10 3" xfId="6327" xr:uid="{00000000-0005-0000-0000-0000910E0000}"/>
    <cellStyle name="Normal 2 4 2 10 3 2" xfId="14769" xr:uid="{9EE0A43D-6959-4BBF-99AA-C46DC8D13A58}"/>
    <cellStyle name="Normal 2 4 2 10 4" xfId="10551" xr:uid="{ED8EB9A1-44C7-42CE-8010-A4F168D29749}"/>
    <cellStyle name="Normal 2 4 2 11" xfId="2456" xr:uid="{00000000-0005-0000-0000-0000920E0000}"/>
    <cellStyle name="Normal 2 4 2 11 2" xfId="6740" xr:uid="{00000000-0005-0000-0000-0000930E0000}"/>
    <cellStyle name="Normal 2 4 2 11 2 2" xfId="15182" xr:uid="{E416E050-19D0-4C7C-BAF4-A03DF8FF7A6B}"/>
    <cellStyle name="Normal 2 4 2 11 3" xfId="10964" xr:uid="{916BCD15-35F8-4478-862A-0725D8DAC31A}"/>
    <cellStyle name="Normal 2 4 2 12" xfId="4674" xr:uid="{00000000-0005-0000-0000-0000940E0000}"/>
    <cellStyle name="Normal 2 4 2 12 2" xfId="13116" xr:uid="{B1598E66-EA38-4A56-999D-328C4D9B7AB3}"/>
    <cellStyle name="Normal 2 4 2 13" xfId="8898" xr:uid="{306B2BB0-78BA-4000-AABE-C9615560F78B}"/>
    <cellStyle name="Normal 2 4 2 2" xfId="280" xr:uid="{00000000-0005-0000-0000-0000950E0000}"/>
    <cellStyle name="Normal 2 4 2 3" xfId="281" xr:uid="{00000000-0005-0000-0000-0000960E0000}"/>
    <cellStyle name="Normal 2 4 2 3 10" xfId="4675" xr:uid="{00000000-0005-0000-0000-0000970E0000}"/>
    <cellStyle name="Normal 2 4 2 3 10 2" xfId="13117" xr:uid="{566C7C9C-0189-436B-8097-81C5601E5416}"/>
    <cellStyle name="Normal 2 4 2 3 11" xfId="8899" xr:uid="{A7E8EB79-0530-4B2C-A83E-0FD702E8AF11}"/>
    <cellStyle name="Normal 2 4 2 3 2" xfId="282" xr:uid="{00000000-0005-0000-0000-0000980E0000}"/>
    <cellStyle name="Normal 2 4 2 3 2 10" xfId="8900" xr:uid="{7C2ED5CD-5D6F-47BA-875E-833EEF846894}"/>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2 2 2" xfId="15679" xr:uid="{CBA2C577-D1C6-40A3-941F-BEBB40C6C851}"/>
    <cellStyle name="Normal 2 4 2 3 2 2 2 2 2 3" xfId="11461" xr:uid="{32743E0A-4B61-4C82-AA4F-C7865F4CE28A}"/>
    <cellStyle name="Normal 2 4 2 3 2 2 2 2 3" xfId="5092" xr:uid="{00000000-0005-0000-0000-00009E0E0000}"/>
    <cellStyle name="Normal 2 4 2 3 2 2 2 2 3 2" xfId="13534" xr:uid="{594D9CA3-6EC4-4072-8BD8-65C0D606A7B9}"/>
    <cellStyle name="Normal 2 4 2 3 2 2 2 2 4" xfId="9316" xr:uid="{264DB140-998E-4CFE-AEFB-6AB03076E862}"/>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2 2 2" xfId="16092" xr:uid="{52136C3A-A215-41AF-883F-13C48469128A}"/>
    <cellStyle name="Normal 2 4 2 3 2 2 2 3 2 3" xfId="11874" xr:uid="{B6D9C83F-F571-4FFA-9BE0-062647F76369}"/>
    <cellStyle name="Normal 2 4 2 3 2 2 2 3 3" xfId="5505" xr:uid="{00000000-0005-0000-0000-0000A20E0000}"/>
    <cellStyle name="Normal 2 4 2 3 2 2 2 3 3 2" xfId="13947" xr:uid="{7BC8EF39-5E38-40BD-A6FB-E61031DB0D5E}"/>
    <cellStyle name="Normal 2 4 2 3 2 2 2 3 4" xfId="9729" xr:uid="{FA84AF94-3D3B-4CBA-92D7-CF31FDD2FBEB}"/>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2 2 2" xfId="16505" xr:uid="{FA9CBEC8-06AA-4A76-8AC9-D5E6939417C3}"/>
    <cellStyle name="Normal 2 4 2 3 2 2 2 4 2 3" xfId="12287" xr:uid="{5643E3E1-7ABE-426D-8646-EE83A2889CD2}"/>
    <cellStyle name="Normal 2 4 2 3 2 2 2 4 3" xfId="5918" xr:uid="{00000000-0005-0000-0000-0000A60E0000}"/>
    <cellStyle name="Normal 2 4 2 3 2 2 2 4 3 2" xfId="14360" xr:uid="{D8A1C3AB-1C39-4093-836C-F5F8B95B4D17}"/>
    <cellStyle name="Normal 2 4 2 3 2 2 2 4 4" xfId="10142" xr:uid="{810168F4-8942-4ECD-AC62-4AF03BB47F57}"/>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2 2 2" xfId="16918" xr:uid="{C1CE8867-A430-4685-8717-CDEBFCF1503A}"/>
    <cellStyle name="Normal 2 4 2 3 2 2 2 5 2 3" xfId="12700" xr:uid="{932A9EAE-FE3E-457F-A134-76F4661F7055}"/>
    <cellStyle name="Normal 2 4 2 3 2 2 2 5 3" xfId="6331" xr:uid="{00000000-0005-0000-0000-0000AA0E0000}"/>
    <cellStyle name="Normal 2 4 2 3 2 2 2 5 3 2" xfId="14773" xr:uid="{C79E0A80-1ED7-479B-B9AB-F9B2403B3D09}"/>
    <cellStyle name="Normal 2 4 2 3 2 2 2 5 4" xfId="10555" xr:uid="{67B8AAE1-05EB-45FD-82BA-0AD53673C0FB}"/>
    <cellStyle name="Normal 2 4 2 3 2 2 2 6" xfId="2460" xr:uid="{00000000-0005-0000-0000-0000AB0E0000}"/>
    <cellStyle name="Normal 2 4 2 3 2 2 2 6 2" xfId="6744" xr:uid="{00000000-0005-0000-0000-0000AC0E0000}"/>
    <cellStyle name="Normal 2 4 2 3 2 2 2 6 2 2" xfId="15186" xr:uid="{BC14B480-9F3A-4729-BB7E-1B440FD7A0FB}"/>
    <cellStyle name="Normal 2 4 2 3 2 2 2 6 3" xfId="10968" xr:uid="{59766D45-C900-4B7C-8115-8121CAF67198}"/>
    <cellStyle name="Normal 2 4 2 3 2 2 2 7" xfId="4678" xr:uid="{00000000-0005-0000-0000-0000AD0E0000}"/>
    <cellStyle name="Normal 2 4 2 3 2 2 2 7 2" xfId="13120" xr:uid="{993621AA-D020-4E5E-8139-0222B8638F50}"/>
    <cellStyle name="Normal 2 4 2 3 2 2 2 8" xfId="8902" xr:uid="{4126F42E-20F8-42CD-A127-700FB43371AD}"/>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2 2 2" xfId="15678" xr:uid="{AE2000C5-0594-4E0A-9E8B-1DD0954863B9}"/>
    <cellStyle name="Normal 2 4 2 3 2 2 3 2 3" xfId="11460" xr:uid="{93CC3585-C8BE-42EC-875D-6E342A542092}"/>
    <cellStyle name="Normal 2 4 2 3 2 2 3 3" xfId="5091" xr:uid="{00000000-0005-0000-0000-0000B10E0000}"/>
    <cellStyle name="Normal 2 4 2 3 2 2 3 3 2" xfId="13533" xr:uid="{B9238B13-2DE7-4502-BD08-635B9EB557BB}"/>
    <cellStyle name="Normal 2 4 2 3 2 2 3 4" xfId="9315" xr:uid="{839B0D07-9B4F-4605-9402-CA27D395CBBC}"/>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2 2 2" xfId="16091" xr:uid="{A52F77FD-9DAD-42BC-AE4C-7FB310D3F476}"/>
    <cellStyle name="Normal 2 4 2 3 2 2 4 2 3" xfId="11873" xr:uid="{94934E76-7CFB-4D75-A586-75627D533E50}"/>
    <cellStyle name="Normal 2 4 2 3 2 2 4 3" xfId="5504" xr:uid="{00000000-0005-0000-0000-0000B50E0000}"/>
    <cellStyle name="Normal 2 4 2 3 2 2 4 3 2" xfId="13946" xr:uid="{D622D273-9B0A-4A7D-A644-06653DA687BE}"/>
    <cellStyle name="Normal 2 4 2 3 2 2 4 4" xfId="9728" xr:uid="{341D1479-CF31-4A90-9CB4-85B738B3A688}"/>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2 2 2" xfId="16504" xr:uid="{F7518E57-E071-4750-BB90-F7AB648A5090}"/>
    <cellStyle name="Normal 2 4 2 3 2 2 5 2 3" xfId="12286" xr:uid="{91439D72-CA42-454F-AE4A-7DDBA586F760}"/>
    <cellStyle name="Normal 2 4 2 3 2 2 5 3" xfId="5917" xr:uid="{00000000-0005-0000-0000-0000B90E0000}"/>
    <cellStyle name="Normal 2 4 2 3 2 2 5 3 2" xfId="14359" xr:uid="{5F8C4FE7-133F-425A-998C-D871056E7298}"/>
    <cellStyle name="Normal 2 4 2 3 2 2 5 4" xfId="10141" xr:uid="{A2CF3DC4-495F-4295-B54C-7C487875927F}"/>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2 2 2" xfId="16917" xr:uid="{90BB4587-B552-40FF-94F7-4E1FF4ADD814}"/>
    <cellStyle name="Normal 2 4 2 3 2 2 6 2 3" xfId="12699" xr:uid="{64FBA1DD-DCD7-43B0-A5AE-04878B8BDAB0}"/>
    <cellStyle name="Normal 2 4 2 3 2 2 6 3" xfId="6330" xr:uid="{00000000-0005-0000-0000-0000BD0E0000}"/>
    <cellStyle name="Normal 2 4 2 3 2 2 6 3 2" xfId="14772" xr:uid="{BFFB99DA-1009-4B17-888F-F6C4B3888B30}"/>
    <cellStyle name="Normal 2 4 2 3 2 2 6 4" xfId="10554" xr:uid="{048A01E4-DD51-40ED-9B99-039B93C2E718}"/>
    <cellStyle name="Normal 2 4 2 3 2 2 7" xfId="2459" xr:uid="{00000000-0005-0000-0000-0000BE0E0000}"/>
    <cellStyle name="Normal 2 4 2 3 2 2 7 2" xfId="6743" xr:uid="{00000000-0005-0000-0000-0000BF0E0000}"/>
    <cellStyle name="Normal 2 4 2 3 2 2 7 2 2" xfId="15185" xr:uid="{388029C0-E46B-402F-AB65-1AF4095EA188}"/>
    <cellStyle name="Normal 2 4 2 3 2 2 7 3" xfId="10967" xr:uid="{5CBCC1C9-0884-4FBF-B720-1121B2B4C0FF}"/>
    <cellStyle name="Normal 2 4 2 3 2 2 8" xfId="4677" xr:uid="{00000000-0005-0000-0000-0000C00E0000}"/>
    <cellStyle name="Normal 2 4 2 3 2 2 8 2" xfId="13119" xr:uid="{B84C95F4-1C60-47CD-AD33-4E86711F10DD}"/>
    <cellStyle name="Normal 2 4 2 3 2 2 9" xfId="8901" xr:uid="{076B4B9E-FE31-490D-B487-21683615CDF5}"/>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2 2 2" xfId="15680" xr:uid="{7636E39E-CED4-4FD0-B0F5-37F7BA3EBFD1}"/>
    <cellStyle name="Normal 2 4 2 3 2 3 2 2 3" xfId="11462" xr:uid="{1403DBF2-DF6A-4AA2-BE0E-BD45AE7B215C}"/>
    <cellStyle name="Normal 2 4 2 3 2 3 2 3" xfId="5093" xr:uid="{00000000-0005-0000-0000-0000C50E0000}"/>
    <cellStyle name="Normal 2 4 2 3 2 3 2 3 2" xfId="13535" xr:uid="{5E32EE74-E5B8-45B4-9567-256C13CECDB1}"/>
    <cellStyle name="Normal 2 4 2 3 2 3 2 4" xfId="9317" xr:uid="{5E2C3F25-EF5B-46E2-90DC-565852A838AA}"/>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2 2 2" xfId="16093" xr:uid="{BAC5556D-9A31-423B-8DAE-49B2725CF39C}"/>
    <cellStyle name="Normal 2 4 2 3 2 3 3 2 3" xfId="11875" xr:uid="{E5FA4999-6D9E-4CDC-83C2-0454B38434AF}"/>
    <cellStyle name="Normal 2 4 2 3 2 3 3 3" xfId="5506" xr:uid="{00000000-0005-0000-0000-0000C90E0000}"/>
    <cellStyle name="Normal 2 4 2 3 2 3 3 3 2" xfId="13948" xr:uid="{C5546A6D-945B-41B1-B4C2-A5B9FC39347C}"/>
    <cellStyle name="Normal 2 4 2 3 2 3 3 4" xfId="9730" xr:uid="{F5FE8E4F-5453-4CB7-BA19-E390CF19A5B8}"/>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2 2 2" xfId="16506" xr:uid="{7E89D1DB-F1F9-4621-AE3D-04E2DAFF5B57}"/>
    <cellStyle name="Normal 2 4 2 3 2 3 4 2 3" xfId="12288" xr:uid="{AA87D6CB-AA79-4CAD-AA23-5A15CAD65035}"/>
    <cellStyle name="Normal 2 4 2 3 2 3 4 3" xfId="5919" xr:uid="{00000000-0005-0000-0000-0000CD0E0000}"/>
    <cellStyle name="Normal 2 4 2 3 2 3 4 3 2" xfId="14361" xr:uid="{897CEBDB-C0E8-477E-B38D-B87994FB7E69}"/>
    <cellStyle name="Normal 2 4 2 3 2 3 4 4" xfId="10143" xr:uid="{E3987332-4F52-4F48-B7A0-57E722037D3E}"/>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2 2 2" xfId="16919" xr:uid="{5F41D769-49B5-454B-8160-E9DEFF5838E5}"/>
    <cellStyle name="Normal 2 4 2 3 2 3 5 2 3" xfId="12701" xr:uid="{0320FA3B-F3D7-41CD-8D4C-775BB94AD888}"/>
    <cellStyle name="Normal 2 4 2 3 2 3 5 3" xfId="6332" xr:uid="{00000000-0005-0000-0000-0000D10E0000}"/>
    <cellStyle name="Normal 2 4 2 3 2 3 5 3 2" xfId="14774" xr:uid="{AE974F4E-A4DD-4094-A2FD-4E5C6FF99423}"/>
    <cellStyle name="Normal 2 4 2 3 2 3 5 4" xfId="10556" xr:uid="{A01101AA-6EDD-4097-882B-C896C51A4FD5}"/>
    <cellStyle name="Normal 2 4 2 3 2 3 6" xfId="2461" xr:uid="{00000000-0005-0000-0000-0000D20E0000}"/>
    <cellStyle name="Normal 2 4 2 3 2 3 6 2" xfId="6745" xr:uid="{00000000-0005-0000-0000-0000D30E0000}"/>
    <cellStyle name="Normal 2 4 2 3 2 3 6 2 2" xfId="15187" xr:uid="{D8518A9A-1069-418D-B56D-9B862CFEB86E}"/>
    <cellStyle name="Normal 2 4 2 3 2 3 6 3" xfId="10969" xr:uid="{18545F94-6C7D-4209-B2EB-9499331350AC}"/>
    <cellStyle name="Normal 2 4 2 3 2 3 7" xfId="4679" xr:uid="{00000000-0005-0000-0000-0000D40E0000}"/>
    <cellStyle name="Normal 2 4 2 3 2 3 7 2" xfId="13121" xr:uid="{00EBBB35-82E2-4211-8D64-FFE9507F6B98}"/>
    <cellStyle name="Normal 2 4 2 3 2 3 8" xfId="8903" xr:uid="{D93D14F0-8F14-4880-A312-DB027673DBE9}"/>
    <cellStyle name="Normal 2 4 2 3 2 4" xfId="773" xr:uid="{00000000-0005-0000-0000-0000D50E0000}"/>
    <cellStyle name="Normal 2 4 2 3 2 4 2" xfId="3012" xr:uid="{00000000-0005-0000-0000-0000D60E0000}"/>
    <cellStyle name="Normal 2 4 2 3 2 4 2 2" xfId="7235" xr:uid="{00000000-0005-0000-0000-0000D70E0000}"/>
    <cellStyle name="Normal 2 4 2 3 2 4 2 2 2" xfId="15677" xr:uid="{DA4AB5D7-C5FC-411A-BE26-3DB34C6DC057}"/>
    <cellStyle name="Normal 2 4 2 3 2 4 2 3" xfId="11459" xr:uid="{74FA9D29-3136-4B30-A31B-62248339758C}"/>
    <cellStyle name="Normal 2 4 2 3 2 4 3" xfId="5090" xr:uid="{00000000-0005-0000-0000-0000D80E0000}"/>
    <cellStyle name="Normal 2 4 2 3 2 4 3 2" xfId="13532" xr:uid="{CED3477E-6E7C-4F93-ADBC-ACEF0D0641FC}"/>
    <cellStyle name="Normal 2 4 2 3 2 4 4" xfId="9314" xr:uid="{99CC3F70-DC00-4861-880A-892ED663B5A3}"/>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2 2 2" xfId="16090" xr:uid="{7F6F49E9-91C1-490B-9185-B1953A08F09F}"/>
    <cellStyle name="Normal 2 4 2 3 2 5 2 3" xfId="11872" xr:uid="{A4471B8D-C885-47EA-8662-802BB52E39E3}"/>
    <cellStyle name="Normal 2 4 2 3 2 5 3" xfId="5503" xr:uid="{00000000-0005-0000-0000-0000DC0E0000}"/>
    <cellStyle name="Normal 2 4 2 3 2 5 3 2" xfId="13945" xr:uid="{16010AEE-F659-4EE8-AC8E-897461C07056}"/>
    <cellStyle name="Normal 2 4 2 3 2 5 4" xfId="9727" xr:uid="{AD26262D-F0E4-4560-BDD8-0B81603ABD82}"/>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2 2 2" xfId="16503" xr:uid="{B65B2D66-1C42-451E-A688-4C1CC6F93FA0}"/>
    <cellStyle name="Normal 2 4 2 3 2 6 2 3" xfId="12285" xr:uid="{595E6A94-D6D9-4560-A85C-8E19072A4C40}"/>
    <cellStyle name="Normal 2 4 2 3 2 6 3" xfId="5916" xr:uid="{00000000-0005-0000-0000-0000E00E0000}"/>
    <cellStyle name="Normal 2 4 2 3 2 6 3 2" xfId="14358" xr:uid="{87953889-9A5A-47F1-A365-D7C0EB01B882}"/>
    <cellStyle name="Normal 2 4 2 3 2 6 4" xfId="10140" xr:uid="{C082165A-3646-4282-942C-7B7E5929F5FB}"/>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2 2 2" xfId="16916" xr:uid="{5897E0E7-AF83-45A2-BDF9-1CBCC3E72593}"/>
    <cellStyle name="Normal 2 4 2 3 2 7 2 3" xfId="12698" xr:uid="{58FEAF52-A3D2-406A-B1C0-02A8755FBC57}"/>
    <cellStyle name="Normal 2 4 2 3 2 7 3" xfId="6329" xr:uid="{00000000-0005-0000-0000-0000E40E0000}"/>
    <cellStyle name="Normal 2 4 2 3 2 7 3 2" xfId="14771" xr:uid="{E16100D2-1888-4F6B-ABE0-D6B8DC419150}"/>
    <cellStyle name="Normal 2 4 2 3 2 7 4" xfId="10553" xr:uid="{956D27EA-BE7B-4165-B5EB-AD87132A0331}"/>
    <cellStyle name="Normal 2 4 2 3 2 8" xfId="2458" xr:uid="{00000000-0005-0000-0000-0000E50E0000}"/>
    <cellStyle name="Normal 2 4 2 3 2 8 2" xfId="6742" xr:uid="{00000000-0005-0000-0000-0000E60E0000}"/>
    <cellStyle name="Normal 2 4 2 3 2 8 2 2" xfId="15184" xr:uid="{05971039-4193-4277-AD24-EE3E4F6610BB}"/>
    <cellStyle name="Normal 2 4 2 3 2 8 3" xfId="10966" xr:uid="{E5B7A2A6-E476-4454-8711-B6953988B175}"/>
    <cellStyle name="Normal 2 4 2 3 2 9" xfId="4676" xr:uid="{00000000-0005-0000-0000-0000E70E0000}"/>
    <cellStyle name="Normal 2 4 2 3 2 9 2" xfId="13118" xr:uid="{7AFFEA55-8784-47FB-A2F1-DC071B25F22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2 2 2" xfId="15682" xr:uid="{A415C117-A6B7-45F8-B9EC-4D623A71E98E}"/>
    <cellStyle name="Normal 2 4 2 3 3 2 2 2 3" xfId="11464" xr:uid="{D9BE3F20-2F3A-4E4A-A288-2E43AD91BFE9}"/>
    <cellStyle name="Normal 2 4 2 3 3 2 2 3" xfId="5095" xr:uid="{00000000-0005-0000-0000-0000ED0E0000}"/>
    <cellStyle name="Normal 2 4 2 3 3 2 2 3 2" xfId="13537" xr:uid="{1063E942-A885-49BB-B21C-8FE62083F5E9}"/>
    <cellStyle name="Normal 2 4 2 3 3 2 2 4" xfId="9319" xr:uid="{44EFADFE-120E-4908-90D3-D17B0A0408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2 2 2" xfId="16095" xr:uid="{766B17FF-B2BE-4991-A365-D7F245F66C65}"/>
    <cellStyle name="Normal 2 4 2 3 3 2 3 2 3" xfId="11877" xr:uid="{553C3874-69A1-4277-BB7B-87A00EE0BB05}"/>
    <cellStyle name="Normal 2 4 2 3 3 2 3 3" xfId="5508" xr:uid="{00000000-0005-0000-0000-0000F10E0000}"/>
    <cellStyle name="Normal 2 4 2 3 3 2 3 3 2" xfId="13950" xr:uid="{6E524E33-C34C-45F7-93B1-D7F82D6221A7}"/>
    <cellStyle name="Normal 2 4 2 3 3 2 3 4" xfId="9732" xr:uid="{D036AEFF-1AD0-4B89-ABD1-1F99970B6D72}"/>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2 2 2" xfId="16508" xr:uid="{BC5F8113-ADDA-481A-8933-E3D758B400BB}"/>
    <cellStyle name="Normal 2 4 2 3 3 2 4 2 3" xfId="12290" xr:uid="{2E14A213-F4A2-4BA7-B6E2-A3BA611A1B4D}"/>
    <cellStyle name="Normal 2 4 2 3 3 2 4 3" xfId="5921" xr:uid="{00000000-0005-0000-0000-0000F50E0000}"/>
    <cellStyle name="Normal 2 4 2 3 3 2 4 3 2" xfId="14363" xr:uid="{3E2874B3-8644-4F1E-89A0-F35D75C66444}"/>
    <cellStyle name="Normal 2 4 2 3 3 2 4 4" xfId="10145" xr:uid="{590F76D2-C11C-48EC-AD43-D06C24C522FD}"/>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2 2 2" xfId="16921" xr:uid="{24F7A360-9E84-45E5-ADCB-01294A36A725}"/>
    <cellStyle name="Normal 2 4 2 3 3 2 5 2 3" xfId="12703" xr:uid="{CF670F51-E312-4DDC-B020-9E4567BA4671}"/>
    <cellStyle name="Normal 2 4 2 3 3 2 5 3" xfId="6334" xr:uid="{00000000-0005-0000-0000-0000F90E0000}"/>
    <cellStyle name="Normal 2 4 2 3 3 2 5 3 2" xfId="14776" xr:uid="{3238A8A3-EC90-45AA-BCE2-49E719C2D07E}"/>
    <cellStyle name="Normal 2 4 2 3 3 2 5 4" xfId="10558" xr:uid="{2AF6609C-514E-405C-92F9-78FDF5F107DC}"/>
    <cellStyle name="Normal 2 4 2 3 3 2 6" xfId="2463" xr:uid="{00000000-0005-0000-0000-0000FA0E0000}"/>
    <cellStyle name="Normal 2 4 2 3 3 2 6 2" xfId="6747" xr:uid="{00000000-0005-0000-0000-0000FB0E0000}"/>
    <cellStyle name="Normal 2 4 2 3 3 2 6 2 2" xfId="15189" xr:uid="{394BECC2-3015-4C97-9373-6F079204A02C}"/>
    <cellStyle name="Normal 2 4 2 3 3 2 6 3" xfId="10971" xr:uid="{A3D279E6-E928-43FA-85B6-2AA8F25BDC09}"/>
    <cellStyle name="Normal 2 4 2 3 3 2 7" xfId="4681" xr:uid="{00000000-0005-0000-0000-0000FC0E0000}"/>
    <cellStyle name="Normal 2 4 2 3 3 2 7 2" xfId="13123" xr:uid="{FFEB3A7C-49FC-47F5-BE75-03B01326484A}"/>
    <cellStyle name="Normal 2 4 2 3 3 2 8" xfId="8905" xr:uid="{6E4B7A25-A97F-48E6-B52D-BDB87018EEA6}"/>
    <cellStyle name="Normal 2 4 2 3 3 3" xfId="777" xr:uid="{00000000-0005-0000-0000-0000FD0E0000}"/>
    <cellStyle name="Normal 2 4 2 3 3 3 2" xfId="3016" xr:uid="{00000000-0005-0000-0000-0000FE0E0000}"/>
    <cellStyle name="Normal 2 4 2 3 3 3 2 2" xfId="7239" xr:uid="{00000000-0005-0000-0000-0000FF0E0000}"/>
    <cellStyle name="Normal 2 4 2 3 3 3 2 2 2" xfId="15681" xr:uid="{C8D9824D-7345-449C-A6B9-2740B92C64D4}"/>
    <cellStyle name="Normal 2 4 2 3 3 3 2 3" xfId="11463" xr:uid="{C85363B0-F5D7-44E3-8F56-5698323ECCAD}"/>
    <cellStyle name="Normal 2 4 2 3 3 3 3" xfId="5094" xr:uid="{00000000-0005-0000-0000-0000000F0000}"/>
    <cellStyle name="Normal 2 4 2 3 3 3 3 2" xfId="13536" xr:uid="{FF386C0F-AEAC-4FA0-9AAA-8FE2B9ECE216}"/>
    <cellStyle name="Normal 2 4 2 3 3 3 4" xfId="9318" xr:uid="{F1C0F3C2-5B73-43B6-B057-B6384EE22154}"/>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2 2 2" xfId="16094" xr:uid="{7ECB3497-6BA5-423B-A726-C295D7D06C25}"/>
    <cellStyle name="Normal 2 4 2 3 3 4 2 3" xfId="11876" xr:uid="{F8A4D118-C715-4911-9E8A-4B58B0610996}"/>
    <cellStyle name="Normal 2 4 2 3 3 4 3" xfId="5507" xr:uid="{00000000-0005-0000-0000-0000040F0000}"/>
    <cellStyle name="Normal 2 4 2 3 3 4 3 2" xfId="13949" xr:uid="{EF246702-1119-4336-BC62-6A80CE06DC30}"/>
    <cellStyle name="Normal 2 4 2 3 3 4 4" xfId="9731" xr:uid="{910D0F29-8DC9-4EC6-B320-71395631BEB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2 2 2" xfId="16507" xr:uid="{49538987-B139-4392-9363-3A69565BDE4D}"/>
    <cellStyle name="Normal 2 4 2 3 3 5 2 3" xfId="12289" xr:uid="{1B2EF90D-C670-4D80-B978-D4032A4DF752}"/>
    <cellStyle name="Normal 2 4 2 3 3 5 3" xfId="5920" xr:uid="{00000000-0005-0000-0000-0000080F0000}"/>
    <cellStyle name="Normal 2 4 2 3 3 5 3 2" xfId="14362" xr:uid="{757956DC-3C56-4CFC-90E2-BEFECC3AEC12}"/>
    <cellStyle name="Normal 2 4 2 3 3 5 4" xfId="10144" xr:uid="{05ADD318-25F6-4190-BE04-B6F8EDB81FE6}"/>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2 2 2" xfId="16920" xr:uid="{013DDD57-3878-4861-AEEE-4F931E70F508}"/>
    <cellStyle name="Normal 2 4 2 3 3 6 2 3" xfId="12702" xr:uid="{34E6D59B-E5AA-406B-BB3C-2BA98DE5424F}"/>
    <cellStyle name="Normal 2 4 2 3 3 6 3" xfId="6333" xr:uid="{00000000-0005-0000-0000-00000C0F0000}"/>
    <cellStyle name="Normal 2 4 2 3 3 6 3 2" xfId="14775" xr:uid="{63839504-2E8D-4CC1-A878-4CE370513982}"/>
    <cellStyle name="Normal 2 4 2 3 3 6 4" xfId="10557" xr:uid="{07EA4206-484E-4867-9D8C-ED242CF7774E}"/>
    <cellStyle name="Normal 2 4 2 3 3 7" xfId="2462" xr:uid="{00000000-0005-0000-0000-00000D0F0000}"/>
    <cellStyle name="Normal 2 4 2 3 3 7 2" xfId="6746" xr:uid="{00000000-0005-0000-0000-00000E0F0000}"/>
    <cellStyle name="Normal 2 4 2 3 3 7 2 2" xfId="15188" xr:uid="{849615E8-1965-4BC8-A25F-468D6538C399}"/>
    <cellStyle name="Normal 2 4 2 3 3 7 3" xfId="10970" xr:uid="{B563E1A3-775D-4E87-BE52-59DA91A6C10B}"/>
    <cellStyle name="Normal 2 4 2 3 3 8" xfId="4680" xr:uid="{00000000-0005-0000-0000-00000F0F0000}"/>
    <cellStyle name="Normal 2 4 2 3 3 8 2" xfId="13122" xr:uid="{56BB96F2-AEEE-464F-88A2-EE5813277113}"/>
    <cellStyle name="Normal 2 4 2 3 3 9" xfId="8904" xr:uid="{6AE20F72-3D63-4C32-A671-41143BF287DB}"/>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2 2 2" xfId="15683" xr:uid="{C53355F9-1A8D-4DBF-9C5C-9CC831A97444}"/>
    <cellStyle name="Normal 2 4 2 3 4 2 2 3" xfId="11465" xr:uid="{A0EB7E94-2EAF-43E3-93DF-02333316977F}"/>
    <cellStyle name="Normal 2 4 2 3 4 2 3" xfId="5096" xr:uid="{00000000-0005-0000-0000-0000140F0000}"/>
    <cellStyle name="Normal 2 4 2 3 4 2 3 2" xfId="13538" xr:uid="{72DB1476-9414-4083-ACE6-33B121F26212}"/>
    <cellStyle name="Normal 2 4 2 3 4 2 4" xfId="9320" xr:uid="{D509CD1B-81EA-4715-86D8-73C76AD1ED2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2 2 2" xfId="16096" xr:uid="{A21E6AD4-73F7-4653-9089-2AE6CF1F9FF8}"/>
    <cellStyle name="Normal 2 4 2 3 4 3 2 3" xfId="11878" xr:uid="{E26E8F70-3F0C-46F9-B43D-CD7DBFD5A928}"/>
    <cellStyle name="Normal 2 4 2 3 4 3 3" xfId="5509" xr:uid="{00000000-0005-0000-0000-0000180F0000}"/>
    <cellStyle name="Normal 2 4 2 3 4 3 3 2" xfId="13951" xr:uid="{FEB95278-30AD-487B-9844-E1E2BDC64B45}"/>
    <cellStyle name="Normal 2 4 2 3 4 3 4" xfId="9733" xr:uid="{542571B8-7544-48B4-A1FA-20C225329FE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2 2 2" xfId="16509" xr:uid="{6F092EE4-E7EE-4D56-8DCC-018DC578D1CF}"/>
    <cellStyle name="Normal 2 4 2 3 4 4 2 3" xfId="12291" xr:uid="{B436EC44-9033-4A74-92D7-CE1FDD15CC52}"/>
    <cellStyle name="Normal 2 4 2 3 4 4 3" xfId="5922" xr:uid="{00000000-0005-0000-0000-00001C0F0000}"/>
    <cellStyle name="Normal 2 4 2 3 4 4 3 2" xfId="14364" xr:uid="{ACBD8D03-51FA-44E6-B2E1-9A5EA84D4A25}"/>
    <cellStyle name="Normal 2 4 2 3 4 4 4" xfId="10146" xr:uid="{8A4948EF-D46C-4B2A-8E70-EF5444E856BA}"/>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2 2 2" xfId="16922" xr:uid="{CF767EA9-3FE8-4519-8A3E-F924753D9D87}"/>
    <cellStyle name="Normal 2 4 2 3 4 5 2 3" xfId="12704" xr:uid="{E912E261-EA20-40ED-B574-11B5708E980B}"/>
    <cellStyle name="Normal 2 4 2 3 4 5 3" xfId="6335" xr:uid="{00000000-0005-0000-0000-0000200F0000}"/>
    <cellStyle name="Normal 2 4 2 3 4 5 3 2" xfId="14777" xr:uid="{D6E0D8A1-D7A5-42ED-B234-879FB9EBF4A1}"/>
    <cellStyle name="Normal 2 4 2 3 4 5 4" xfId="10559" xr:uid="{CC550AE3-8B83-41D4-8626-1DACEBE8A076}"/>
    <cellStyle name="Normal 2 4 2 3 4 6" xfId="2464" xr:uid="{00000000-0005-0000-0000-0000210F0000}"/>
    <cellStyle name="Normal 2 4 2 3 4 6 2" xfId="6748" xr:uid="{00000000-0005-0000-0000-0000220F0000}"/>
    <cellStyle name="Normal 2 4 2 3 4 6 2 2" xfId="15190" xr:uid="{2FDDCC9D-4DAF-4041-8699-66285D179FE3}"/>
    <cellStyle name="Normal 2 4 2 3 4 6 3" xfId="10972" xr:uid="{864A729F-1B38-4A72-A2F6-DE44C812C926}"/>
    <cellStyle name="Normal 2 4 2 3 4 7" xfId="4682" xr:uid="{00000000-0005-0000-0000-0000230F0000}"/>
    <cellStyle name="Normal 2 4 2 3 4 7 2" xfId="13124" xr:uid="{CE50A4FA-82F6-4F79-A845-CD6E8ABEA5E2}"/>
    <cellStyle name="Normal 2 4 2 3 4 8" xfId="8906" xr:uid="{D4B63113-D628-4D5A-9F58-44C9BCC1372A}"/>
    <cellStyle name="Normal 2 4 2 3 5" xfId="772" xr:uid="{00000000-0005-0000-0000-0000240F0000}"/>
    <cellStyle name="Normal 2 4 2 3 5 2" xfId="3011" xr:uid="{00000000-0005-0000-0000-0000250F0000}"/>
    <cellStyle name="Normal 2 4 2 3 5 2 2" xfId="7234" xr:uid="{00000000-0005-0000-0000-0000260F0000}"/>
    <cellStyle name="Normal 2 4 2 3 5 2 2 2" xfId="15676" xr:uid="{A34683AF-A577-4E23-9965-BD37E730986E}"/>
    <cellStyle name="Normal 2 4 2 3 5 2 3" xfId="11458" xr:uid="{C61A40B2-8FA8-4D4C-B374-651B2C5FD685}"/>
    <cellStyle name="Normal 2 4 2 3 5 3" xfId="5089" xr:uid="{00000000-0005-0000-0000-0000270F0000}"/>
    <cellStyle name="Normal 2 4 2 3 5 3 2" xfId="13531" xr:uid="{F7376EFB-1FC8-4A6B-8945-7BDB9FF3C561}"/>
    <cellStyle name="Normal 2 4 2 3 5 4" xfId="9313" xr:uid="{ACF8D672-061E-4838-BE0D-75127998EE58}"/>
    <cellStyle name="Normal 2 4 2 3 6" xfId="1194" xr:uid="{00000000-0005-0000-0000-0000280F0000}"/>
    <cellStyle name="Normal 2 4 2 3 6 2" xfId="3424" xr:uid="{00000000-0005-0000-0000-0000290F0000}"/>
    <cellStyle name="Normal 2 4 2 3 6 2 2" xfId="7647" xr:uid="{00000000-0005-0000-0000-00002A0F0000}"/>
    <cellStyle name="Normal 2 4 2 3 6 2 2 2" xfId="16089" xr:uid="{0386326F-2161-471C-95C9-7530774C2226}"/>
    <cellStyle name="Normal 2 4 2 3 6 2 3" xfId="11871" xr:uid="{659982E8-40CB-4CAA-A30D-733C06197A54}"/>
    <cellStyle name="Normal 2 4 2 3 6 3" xfId="5502" xr:uid="{00000000-0005-0000-0000-00002B0F0000}"/>
    <cellStyle name="Normal 2 4 2 3 6 3 2" xfId="13944" xr:uid="{6E7F18D4-469E-49BF-9879-6745F92862AD}"/>
    <cellStyle name="Normal 2 4 2 3 6 4" xfId="9726" xr:uid="{98E65C00-E9C2-4B81-8471-55FEA5480DB2}"/>
    <cellStyle name="Normal 2 4 2 3 7" xfId="1607" xr:uid="{00000000-0005-0000-0000-00002C0F0000}"/>
    <cellStyle name="Normal 2 4 2 3 7 2" xfId="3837" xr:uid="{00000000-0005-0000-0000-00002D0F0000}"/>
    <cellStyle name="Normal 2 4 2 3 7 2 2" xfId="8060" xr:uid="{00000000-0005-0000-0000-00002E0F0000}"/>
    <cellStyle name="Normal 2 4 2 3 7 2 2 2" xfId="16502" xr:uid="{BBCC2DB8-855A-494B-A98A-43C5F229AD98}"/>
    <cellStyle name="Normal 2 4 2 3 7 2 3" xfId="12284" xr:uid="{D036D2B2-7813-4E20-A1E0-64C46BDCEA58}"/>
    <cellStyle name="Normal 2 4 2 3 7 3" xfId="5915" xr:uid="{00000000-0005-0000-0000-00002F0F0000}"/>
    <cellStyle name="Normal 2 4 2 3 7 3 2" xfId="14357" xr:uid="{3F7A00B9-B950-4D11-9638-2FFB34D8EC2C}"/>
    <cellStyle name="Normal 2 4 2 3 7 4" xfId="10139" xr:uid="{E1BB4972-6525-403A-BE9A-FB49A24099F0}"/>
    <cellStyle name="Normal 2 4 2 3 8" xfId="2021" xr:uid="{00000000-0005-0000-0000-0000300F0000}"/>
    <cellStyle name="Normal 2 4 2 3 8 2" xfId="4250" xr:uid="{00000000-0005-0000-0000-0000310F0000}"/>
    <cellStyle name="Normal 2 4 2 3 8 2 2" xfId="8473" xr:uid="{00000000-0005-0000-0000-0000320F0000}"/>
    <cellStyle name="Normal 2 4 2 3 8 2 2 2" xfId="16915" xr:uid="{6E00D4F0-93E0-4049-8E25-BC9F7A899023}"/>
    <cellStyle name="Normal 2 4 2 3 8 2 3" xfId="12697" xr:uid="{F16DB38E-1644-4277-9190-3BD461FAE33A}"/>
    <cellStyle name="Normal 2 4 2 3 8 3" xfId="6328" xr:uid="{00000000-0005-0000-0000-0000330F0000}"/>
    <cellStyle name="Normal 2 4 2 3 8 3 2" xfId="14770" xr:uid="{7BA47FDB-6631-4B06-A8C4-B87210F9AC63}"/>
    <cellStyle name="Normal 2 4 2 3 8 4" xfId="10552" xr:uid="{6ECA9545-C769-49CD-95AD-B0676C1F4CF6}"/>
    <cellStyle name="Normal 2 4 2 3 9" xfId="2457" xr:uid="{00000000-0005-0000-0000-0000340F0000}"/>
    <cellStyle name="Normal 2 4 2 3 9 2" xfId="6741" xr:uid="{00000000-0005-0000-0000-0000350F0000}"/>
    <cellStyle name="Normal 2 4 2 3 9 2 2" xfId="15183" xr:uid="{D92A77A3-4F43-4911-94E7-4AD583A99CFF}"/>
    <cellStyle name="Normal 2 4 2 3 9 3" xfId="10965" xr:uid="{E8439917-A958-450B-817B-0499A12E3FCB}"/>
    <cellStyle name="Normal 2 4 2 4" xfId="289" xr:uid="{00000000-0005-0000-0000-0000360F0000}"/>
    <cellStyle name="Normal 2 4 2 4 10" xfId="8907" xr:uid="{BB952CCF-0246-4CF1-AAC7-3EAFC67F48BE}"/>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2 2 2" xfId="15686" xr:uid="{0C61FCE2-9AA1-4E8F-8A92-4854B8406BE4}"/>
    <cellStyle name="Normal 2 4 2 4 2 2 2 2 3" xfId="11468" xr:uid="{A334803A-034E-42C4-80E3-B247880CAB92}"/>
    <cellStyle name="Normal 2 4 2 4 2 2 2 3" xfId="5099" xr:uid="{00000000-0005-0000-0000-00003C0F0000}"/>
    <cellStyle name="Normal 2 4 2 4 2 2 2 3 2" xfId="13541" xr:uid="{BB8265A2-9AEA-47D4-9DE6-D28FC4D5D5AC}"/>
    <cellStyle name="Normal 2 4 2 4 2 2 2 4" xfId="9323" xr:uid="{5ACB5573-D515-4750-955A-A3A4A4DCF27B}"/>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2 2 2" xfId="16099" xr:uid="{F607906B-BB8E-4137-8A64-8B32C6D079AD}"/>
    <cellStyle name="Normal 2 4 2 4 2 2 3 2 3" xfId="11881" xr:uid="{2513AC07-DA9E-47B0-92EC-D03700E88CEF}"/>
    <cellStyle name="Normal 2 4 2 4 2 2 3 3" xfId="5512" xr:uid="{00000000-0005-0000-0000-0000400F0000}"/>
    <cellStyle name="Normal 2 4 2 4 2 2 3 3 2" xfId="13954" xr:uid="{829A57DA-F2C1-44A6-9398-C15DC3DBA549}"/>
    <cellStyle name="Normal 2 4 2 4 2 2 3 4" xfId="9736" xr:uid="{2BCD1B0B-A1CB-4C9F-AB39-70E6F7B32805}"/>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2 2 2" xfId="16512" xr:uid="{FE5D5297-D047-4206-80A5-E1640A4D56A3}"/>
    <cellStyle name="Normal 2 4 2 4 2 2 4 2 3" xfId="12294" xr:uid="{F8D0EDEB-71FE-47A3-A140-BFA953C5D98E}"/>
    <cellStyle name="Normal 2 4 2 4 2 2 4 3" xfId="5925" xr:uid="{00000000-0005-0000-0000-0000440F0000}"/>
    <cellStyle name="Normal 2 4 2 4 2 2 4 3 2" xfId="14367" xr:uid="{80E4BCD6-B48B-44E1-997A-08D96D77BF89}"/>
    <cellStyle name="Normal 2 4 2 4 2 2 4 4" xfId="10149" xr:uid="{445B67BC-18FE-4274-85CF-9CBF0AD4DE59}"/>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2 2 2" xfId="16925" xr:uid="{34192ABA-FAD0-43A0-B53A-E04A6E4871C5}"/>
    <cellStyle name="Normal 2 4 2 4 2 2 5 2 3" xfId="12707" xr:uid="{98A0BA77-939D-4762-B352-737E6F59B5E8}"/>
    <cellStyle name="Normal 2 4 2 4 2 2 5 3" xfId="6338" xr:uid="{00000000-0005-0000-0000-0000480F0000}"/>
    <cellStyle name="Normal 2 4 2 4 2 2 5 3 2" xfId="14780" xr:uid="{59520FEB-21AC-485C-BD94-F6C3E3DF53BD}"/>
    <cellStyle name="Normal 2 4 2 4 2 2 5 4" xfId="10562" xr:uid="{7E6B1A7F-2505-4F9B-A966-490B77604CB6}"/>
    <cellStyle name="Normal 2 4 2 4 2 2 6" xfId="2467" xr:uid="{00000000-0005-0000-0000-0000490F0000}"/>
    <cellStyle name="Normal 2 4 2 4 2 2 6 2" xfId="6751" xr:uid="{00000000-0005-0000-0000-00004A0F0000}"/>
    <cellStyle name="Normal 2 4 2 4 2 2 6 2 2" xfId="15193" xr:uid="{AE098EDF-2B7F-42D0-A1A6-D0004F371157}"/>
    <cellStyle name="Normal 2 4 2 4 2 2 6 3" xfId="10975" xr:uid="{0B787371-5ED1-49C1-8E88-6DC26DC233A0}"/>
    <cellStyle name="Normal 2 4 2 4 2 2 7" xfId="4685" xr:uid="{00000000-0005-0000-0000-00004B0F0000}"/>
    <cellStyle name="Normal 2 4 2 4 2 2 7 2" xfId="13127" xr:uid="{5F57BBD7-1751-405B-A367-5505084C99EE}"/>
    <cellStyle name="Normal 2 4 2 4 2 2 8" xfId="8909" xr:uid="{8A5CD462-AE68-4073-A999-7959BEF23EA6}"/>
    <cellStyle name="Normal 2 4 2 4 2 3" xfId="781" xr:uid="{00000000-0005-0000-0000-00004C0F0000}"/>
    <cellStyle name="Normal 2 4 2 4 2 3 2" xfId="3020" xr:uid="{00000000-0005-0000-0000-00004D0F0000}"/>
    <cellStyle name="Normal 2 4 2 4 2 3 2 2" xfId="7243" xr:uid="{00000000-0005-0000-0000-00004E0F0000}"/>
    <cellStyle name="Normal 2 4 2 4 2 3 2 2 2" xfId="15685" xr:uid="{69020346-F783-4BCB-945F-BE375934A484}"/>
    <cellStyle name="Normal 2 4 2 4 2 3 2 3" xfId="11467" xr:uid="{FEE7BAEF-031C-45B1-BDCE-09E0B29F1ECC}"/>
    <cellStyle name="Normal 2 4 2 4 2 3 3" xfId="5098" xr:uid="{00000000-0005-0000-0000-00004F0F0000}"/>
    <cellStyle name="Normal 2 4 2 4 2 3 3 2" xfId="13540" xr:uid="{A0AF659C-EDCE-4969-B5E5-D99CC8AE654E}"/>
    <cellStyle name="Normal 2 4 2 4 2 3 4" xfId="9322" xr:uid="{23994B22-9A87-4502-B89A-E17F720E4CD5}"/>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2 2 2" xfId="16098" xr:uid="{B88D9B48-67E6-4825-A5DC-D09D966A77D0}"/>
    <cellStyle name="Normal 2 4 2 4 2 4 2 3" xfId="11880" xr:uid="{74EE98FF-F7AB-4BEF-BA87-5C1DDF4F9504}"/>
    <cellStyle name="Normal 2 4 2 4 2 4 3" xfId="5511" xr:uid="{00000000-0005-0000-0000-0000530F0000}"/>
    <cellStyle name="Normal 2 4 2 4 2 4 3 2" xfId="13953" xr:uid="{17EF6291-6EA0-4160-9EB1-5614FB3F4717}"/>
    <cellStyle name="Normal 2 4 2 4 2 4 4" xfId="9735" xr:uid="{61EEC646-2C4E-4F82-B184-789082DE3368}"/>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2 2 2" xfId="16511" xr:uid="{835D88EB-FFA4-4B90-8A2C-549FBEB9E697}"/>
    <cellStyle name="Normal 2 4 2 4 2 5 2 3" xfId="12293" xr:uid="{6F149927-2C05-4CCD-95CC-9106A7D631A0}"/>
    <cellStyle name="Normal 2 4 2 4 2 5 3" xfId="5924" xr:uid="{00000000-0005-0000-0000-0000570F0000}"/>
    <cellStyle name="Normal 2 4 2 4 2 5 3 2" xfId="14366" xr:uid="{D676E18C-9058-460A-A0AB-FEC8BF300935}"/>
    <cellStyle name="Normal 2 4 2 4 2 5 4" xfId="10148" xr:uid="{964A464F-1A5B-4380-A702-7B89D9A4198E}"/>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2 2 2" xfId="16924" xr:uid="{98198575-B207-4917-9861-98D1D6458109}"/>
    <cellStyle name="Normal 2 4 2 4 2 6 2 3" xfId="12706" xr:uid="{EF218B7F-6C00-4E9D-A6CD-FA32D0023C8A}"/>
    <cellStyle name="Normal 2 4 2 4 2 6 3" xfId="6337" xr:uid="{00000000-0005-0000-0000-00005B0F0000}"/>
    <cellStyle name="Normal 2 4 2 4 2 6 3 2" xfId="14779" xr:uid="{D071A9C7-D49C-4C54-B32B-04776D9EEC6D}"/>
    <cellStyle name="Normal 2 4 2 4 2 6 4" xfId="10561" xr:uid="{34A8371F-B038-449D-BD96-36860BB61739}"/>
    <cellStyle name="Normal 2 4 2 4 2 7" xfId="2466" xr:uid="{00000000-0005-0000-0000-00005C0F0000}"/>
    <cellStyle name="Normal 2 4 2 4 2 7 2" xfId="6750" xr:uid="{00000000-0005-0000-0000-00005D0F0000}"/>
    <cellStyle name="Normal 2 4 2 4 2 7 2 2" xfId="15192" xr:uid="{418C12FC-A4A7-426C-AAC2-43720875E20B}"/>
    <cellStyle name="Normal 2 4 2 4 2 7 3" xfId="10974" xr:uid="{E787B405-8248-4158-88A6-1D4AFE1F40BD}"/>
    <cellStyle name="Normal 2 4 2 4 2 8" xfId="4684" xr:uid="{00000000-0005-0000-0000-00005E0F0000}"/>
    <cellStyle name="Normal 2 4 2 4 2 8 2" xfId="13126" xr:uid="{CB61832B-5110-4D1D-AABB-A11738DE5EA8}"/>
    <cellStyle name="Normal 2 4 2 4 2 9" xfId="8908" xr:uid="{6FBB2FB1-3CF0-4918-81D0-F06F02FF60D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2 2 2" xfId="15687" xr:uid="{E82C5F35-A9AB-46A5-95A9-513A8102F0A9}"/>
    <cellStyle name="Normal 2 4 2 4 3 2 2 3" xfId="11469" xr:uid="{706A6E57-C4A9-461F-8E85-3F45BBCD6D0B}"/>
    <cellStyle name="Normal 2 4 2 4 3 2 3" xfId="5100" xr:uid="{00000000-0005-0000-0000-0000630F0000}"/>
    <cellStyle name="Normal 2 4 2 4 3 2 3 2" xfId="13542" xr:uid="{BB14A90A-9C8C-4FD1-A836-62FD23FE0D79}"/>
    <cellStyle name="Normal 2 4 2 4 3 2 4" xfId="9324" xr:uid="{E0310DFF-8F00-4CFB-A2A5-865D547E1DFD}"/>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2 2 2" xfId="16100" xr:uid="{03809701-39DD-4580-8481-33C83C4E1730}"/>
    <cellStyle name="Normal 2 4 2 4 3 3 2 3" xfId="11882" xr:uid="{055070ED-5148-4D46-9D7A-67E006E16957}"/>
    <cellStyle name="Normal 2 4 2 4 3 3 3" xfId="5513" xr:uid="{00000000-0005-0000-0000-0000670F0000}"/>
    <cellStyle name="Normal 2 4 2 4 3 3 3 2" xfId="13955" xr:uid="{4FEDF62E-5219-4C4E-B4F3-7F60C13748D8}"/>
    <cellStyle name="Normal 2 4 2 4 3 3 4" xfId="9737" xr:uid="{5F10B8E2-A506-4CBD-B3FE-78D10D826D5F}"/>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2 2 2" xfId="16513" xr:uid="{26326B5A-6756-47F2-AD8E-9D93A1BCFAD6}"/>
    <cellStyle name="Normal 2 4 2 4 3 4 2 3" xfId="12295" xr:uid="{614F84FE-E36A-43FE-B30B-6ABE2979CCCD}"/>
    <cellStyle name="Normal 2 4 2 4 3 4 3" xfId="5926" xr:uid="{00000000-0005-0000-0000-00006B0F0000}"/>
    <cellStyle name="Normal 2 4 2 4 3 4 3 2" xfId="14368" xr:uid="{2231CB61-C656-4F3A-97CF-894941131C7A}"/>
    <cellStyle name="Normal 2 4 2 4 3 4 4" xfId="10150" xr:uid="{F630BEC6-2A5F-4121-A7A1-9F3B5C30FC4C}"/>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2 2 2" xfId="16926" xr:uid="{F8F93110-4A51-4474-9DAE-53560D044AD1}"/>
    <cellStyle name="Normal 2 4 2 4 3 5 2 3" xfId="12708" xr:uid="{C7B4B9A3-E8AF-4102-8055-F64837289E96}"/>
    <cellStyle name="Normal 2 4 2 4 3 5 3" xfId="6339" xr:uid="{00000000-0005-0000-0000-00006F0F0000}"/>
    <cellStyle name="Normal 2 4 2 4 3 5 3 2" xfId="14781" xr:uid="{C64D39C4-BC72-42A5-8280-935EC8568699}"/>
    <cellStyle name="Normal 2 4 2 4 3 5 4" xfId="10563" xr:uid="{F80BD974-D872-48F6-8094-7A0FC015332A}"/>
    <cellStyle name="Normal 2 4 2 4 3 6" xfId="2468" xr:uid="{00000000-0005-0000-0000-0000700F0000}"/>
    <cellStyle name="Normal 2 4 2 4 3 6 2" xfId="6752" xr:uid="{00000000-0005-0000-0000-0000710F0000}"/>
    <cellStyle name="Normal 2 4 2 4 3 6 2 2" xfId="15194" xr:uid="{DBCCDBD1-0838-4893-B946-25F3F1E7838B}"/>
    <cellStyle name="Normal 2 4 2 4 3 6 3" xfId="10976" xr:uid="{FFCC9F01-E3C9-4006-8F59-BECE5DFEB7EC}"/>
    <cellStyle name="Normal 2 4 2 4 3 7" xfId="4686" xr:uid="{00000000-0005-0000-0000-0000720F0000}"/>
    <cellStyle name="Normal 2 4 2 4 3 7 2" xfId="13128" xr:uid="{8C0DB1D4-9BF6-4244-94E5-5D055D750A49}"/>
    <cellStyle name="Normal 2 4 2 4 3 8" xfId="8910" xr:uid="{F89EFE02-84B4-443E-9EFA-3758296803BA}"/>
    <cellStyle name="Normal 2 4 2 4 4" xfId="780" xr:uid="{00000000-0005-0000-0000-0000730F0000}"/>
    <cellStyle name="Normal 2 4 2 4 4 2" xfId="3019" xr:uid="{00000000-0005-0000-0000-0000740F0000}"/>
    <cellStyle name="Normal 2 4 2 4 4 2 2" xfId="7242" xr:uid="{00000000-0005-0000-0000-0000750F0000}"/>
    <cellStyle name="Normal 2 4 2 4 4 2 2 2" xfId="15684" xr:uid="{4A26B8FF-6AAC-4CEB-B424-A9E8C59C50FE}"/>
    <cellStyle name="Normal 2 4 2 4 4 2 3" xfId="11466" xr:uid="{55455442-44F0-4DD6-A9BB-99D4B69E211C}"/>
    <cellStyle name="Normal 2 4 2 4 4 3" xfId="5097" xr:uid="{00000000-0005-0000-0000-0000760F0000}"/>
    <cellStyle name="Normal 2 4 2 4 4 3 2" xfId="13539" xr:uid="{53991F7F-17DE-4050-8AAA-761BB739B014}"/>
    <cellStyle name="Normal 2 4 2 4 4 4" xfId="9321" xr:uid="{25854A53-FA86-48BF-AB89-FDA530EFDA1E}"/>
    <cellStyle name="Normal 2 4 2 4 5" xfId="1202" xr:uid="{00000000-0005-0000-0000-0000770F0000}"/>
    <cellStyle name="Normal 2 4 2 4 5 2" xfId="3432" xr:uid="{00000000-0005-0000-0000-0000780F0000}"/>
    <cellStyle name="Normal 2 4 2 4 5 2 2" xfId="7655" xr:uid="{00000000-0005-0000-0000-0000790F0000}"/>
    <cellStyle name="Normal 2 4 2 4 5 2 2 2" xfId="16097" xr:uid="{73BAC863-96CA-4EC7-81B2-55B136901B2B}"/>
    <cellStyle name="Normal 2 4 2 4 5 2 3" xfId="11879" xr:uid="{68420E9A-F072-4E0B-9400-AAB11AE9C724}"/>
    <cellStyle name="Normal 2 4 2 4 5 3" xfId="5510" xr:uid="{00000000-0005-0000-0000-00007A0F0000}"/>
    <cellStyle name="Normal 2 4 2 4 5 3 2" xfId="13952" xr:uid="{8F54AA7E-3041-4CE3-A11A-7F4A8CDE8E78}"/>
    <cellStyle name="Normal 2 4 2 4 5 4" xfId="9734" xr:uid="{899381BC-8634-4F7D-9B19-F9BC11222E5C}"/>
    <cellStyle name="Normal 2 4 2 4 6" xfId="1615" xr:uid="{00000000-0005-0000-0000-00007B0F0000}"/>
    <cellStyle name="Normal 2 4 2 4 6 2" xfId="3845" xr:uid="{00000000-0005-0000-0000-00007C0F0000}"/>
    <cellStyle name="Normal 2 4 2 4 6 2 2" xfId="8068" xr:uid="{00000000-0005-0000-0000-00007D0F0000}"/>
    <cellStyle name="Normal 2 4 2 4 6 2 2 2" xfId="16510" xr:uid="{2B738727-3A87-48DF-86EA-EDD8135AFE89}"/>
    <cellStyle name="Normal 2 4 2 4 6 2 3" xfId="12292" xr:uid="{0CB5A769-CF06-457C-8C1F-561117867C45}"/>
    <cellStyle name="Normal 2 4 2 4 6 3" xfId="5923" xr:uid="{00000000-0005-0000-0000-00007E0F0000}"/>
    <cellStyle name="Normal 2 4 2 4 6 3 2" xfId="14365" xr:uid="{92CE9914-ECA8-4D63-A159-62D4F71443CD}"/>
    <cellStyle name="Normal 2 4 2 4 6 4" xfId="10147" xr:uid="{2841BDB5-29E0-44DF-8A96-2F66D2583501}"/>
    <cellStyle name="Normal 2 4 2 4 7" xfId="2029" xr:uid="{00000000-0005-0000-0000-00007F0F0000}"/>
    <cellStyle name="Normal 2 4 2 4 7 2" xfId="4258" xr:uid="{00000000-0005-0000-0000-0000800F0000}"/>
    <cellStyle name="Normal 2 4 2 4 7 2 2" xfId="8481" xr:uid="{00000000-0005-0000-0000-0000810F0000}"/>
    <cellStyle name="Normal 2 4 2 4 7 2 2 2" xfId="16923" xr:uid="{D7AED336-670F-4E4C-AF23-7A552353DF38}"/>
    <cellStyle name="Normal 2 4 2 4 7 2 3" xfId="12705" xr:uid="{4A9D86A2-D764-4011-B6A7-B1A0005372EB}"/>
    <cellStyle name="Normal 2 4 2 4 7 3" xfId="6336" xr:uid="{00000000-0005-0000-0000-0000820F0000}"/>
    <cellStyle name="Normal 2 4 2 4 7 3 2" xfId="14778" xr:uid="{B55E2CE3-C0B4-4F22-A855-44ECC17A6953}"/>
    <cellStyle name="Normal 2 4 2 4 7 4" xfId="10560" xr:uid="{5234C816-887B-46D0-98F1-C7AC64DAE4A7}"/>
    <cellStyle name="Normal 2 4 2 4 8" xfId="2465" xr:uid="{00000000-0005-0000-0000-0000830F0000}"/>
    <cellStyle name="Normal 2 4 2 4 8 2" xfId="6749" xr:uid="{00000000-0005-0000-0000-0000840F0000}"/>
    <cellStyle name="Normal 2 4 2 4 8 2 2" xfId="15191" xr:uid="{5A8BB71E-E612-46C3-A82B-0412B73F58F8}"/>
    <cellStyle name="Normal 2 4 2 4 8 3" xfId="10973" xr:uid="{08167773-BF86-45A1-B7D7-C19CE63E4EC5}"/>
    <cellStyle name="Normal 2 4 2 4 9" xfId="4683" xr:uid="{00000000-0005-0000-0000-0000850F0000}"/>
    <cellStyle name="Normal 2 4 2 4 9 2" xfId="13125" xr:uid="{ED76FA25-1846-4C95-82EA-47D11A78A7B3}"/>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2 2 2" xfId="15689" xr:uid="{D9025498-A1B5-4ECD-8745-C61A6E23C607}"/>
    <cellStyle name="Normal 2 4 2 5 2 2 2 3" xfId="11471" xr:uid="{AAF0B993-01AF-4D7F-9A1E-AED9C6BF012B}"/>
    <cellStyle name="Normal 2 4 2 5 2 2 3" xfId="5102" xr:uid="{00000000-0005-0000-0000-00008B0F0000}"/>
    <cellStyle name="Normal 2 4 2 5 2 2 3 2" xfId="13544" xr:uid="{CCEA8AF5-68D6-4BE5-9899-DEFB5232DEFA}"/>
    <cellStyle name="Normal 2 4 2 5 2 2 4" xfId="9326" xr:uid="{E9D87917-2707-478B-8BB7-5D6536D9CC57}"/>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2 2 2" xfId="16102" xr:uid="{F1233022-2FBB-44C4-9F92-B1DE79B95AF7}"/>
    <cellStyle name="Normal 2 4 2 5 2 3 2 3" xfId="11884" xr:uid="{BAEDB5FE-6565-49C9-9E63-216A1B5EDD90}"/>
    <cellStyle name="Normal 2 4 2 5 2 3 3" xfId="5515" xr:uid="{00000000-0005-0000-0000-00008F0F0000}"/>
    <cellStyle name="Normal 2 4 2 5 2 3 3 2" xfId="13957" xr:uid="{0F256DA2-C4A4-4B2F-B112-2A0DA6AA6D8B}"/>
    <cellStyle name="Normal 2 4 2 5 2 3 4" xfId="9739" xr:uid="{A15C5EAC-A7E3-460E-A95F-C2B56AB565CC}"/>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2 2 2" xfId="16515" xr:uid="{56ECC8B1-8F7A-4E34-A59D-93A4793C215C}"/>
    <cellStyle name="Normal 2 4 2 5 2 4 2 3" xfId="12297" xr:uid="{FF5E5C71-FEB1-41CB-827E-17C2AF6C8B8E}"/>
    <cellStyle name="Normal 2 4 2 5 2 4 3" xfId="5928" xr:uid="{00000000-0005-0000-0000-0000930F0000}"/>
    <cellStyle name="Normal 2 4 2 5 2 4 3 2" xfId="14370" xr:uid="{78375869-4463-40FF-BA81-02C70F330D53}"/>
    <cellStyle name="Normal 2 4 2 5 2 4 4" xfId="10152" xr:uid="{B627868B-289E-4243-AE4B-8CBBA99401F6}"/>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2 2 2" xfId="16928" xr:uid="{93FCB3AE-C9B3-4C13-B31F-CB3930C29C94}"/>
    <cellStyle name="Normal 2 4 2 5 2 5 2 3" xfId="12710" xr:uid="{B64B7569-CB6E-443A-AA63-4113DD5D9ED8}"/>
    <cellStyle name="Normal 2 4 2 5 2 5 3" xfId="6341" xr:uid="{00000000-0005-0000-0000-0000970F0000}"/>
    <cellStyle name="Normal 2 4 2 5 2 5 3 2" xfId="14783" xr:uid="{241D3BB7-420B-4D8E-80B7-E921370A3AEA}"/>
    <cellStyle name="Normal 2 4 2 5 2 5 4" xfId="10565" xr:uid="{64F6E133-4A3A-44CC-BA23-69C2CC35DF88}"/>
    <cellStyle name="Normal 2 4 2 5 2 6" xfId="2470" xr:uid="{00000000-0005-0000-0000-0000980F0000}"/>
    <cellStyle name="Normal 2 4 2 5 2 6 2" xfId="6754" xr:uid="{00000000-0005-0000-0000-0000990F0000}"/>
    <cellStyle name="Normal 2 4 2 5 2 6 2 2" xfId="15196" xr:uid="{DE05046C-FD07-4728-B0A9-660FBFA8C210}"/>
    <cellStyle name="Normal 2 4 2 5 2 6 3" xfId="10978" xr:uid="{A82EEE81-A3C8-4445-AC9C-DA8CCF6D19F6}"/>
    <cellStyle name="Normal 2 4 2 5 2 7" xfId="4688" xr:uid="{00000000-0005-0000-0000-00009A0F0000}"/>
    <cellStyle name="Normal 2 4 2 5 2 7 2" xfId="13130" xr:uid="{A1FD55FC-58A9-4A27-A222-4F5147F7FAD7}"/>
    <cellStyle name="Normal 2 4 2 5 2 8" xfId="8912" xr:uid="{EE0BA5DC-BC0E-4618-AD37-EB04258A812F}"/>
    <cellStyle name="Normal 2 4 2 5 3" xfId="784" xr:uid="{00000000-0005-0000-0000-00009B0F0000}"/>
    <cellStyle name="Normal 2 4 2 5 3 2" xfId="3023" xr:uid="{00000000-0005-0000-0000-00009C0F0000}"/>
    <cellStyle name="Normal 2 4 2 5 3 2 2" xfId="7246" xr:uid="{00000000-0005-0000-0000-00009D0F0000}"/>
    <cellStyle name="Normal 2 4 2 5 3 2 2 2" xfId="15688" xr:uid="{4E22AF62-B05F-483E-8722-F83BFC699C3E}"/>
    <cellStyle name="Normal 2 4 2 5 3 2 3" xfId="11470" xr:uid="{83651FB4-C629-496D-A816-8AFDAAB82897}"/>
    <cellStyle name="Normal 2 4 2 5 3 3" xfId="5101" xr:uid="{00000000-0005-0000-0000-00009E0F0000}"/>
    <cellStyle name="Normal 2 4 2 5 3 3 2" xfId="13543" xr:uid="{3A710E81-872B-4A4F-90AA-3AB86E4C5B3A}"/>
    <cellStyle name="Normal 2 4 2 5 3 4" xfId="9325" xr:uid="{30CBFEBE-9CE2-4E52-BC48-707D06567A57}"/>
    <cellStyle name="Normal 2 4 2 5 4" xfId="1206" xr:uid="{00000000-0005-0000-0000-00009F0F0000}"/>
    <cellStyle name="Normal 2 4 2 5 4 2" xfId="3436" xr:uid="{00000000-0005-0000-0000-0000A00F0000}"/>
    <cellStyle name="Normal 2 4 2 5 4 2 2" xfId="7659" xr:uid="{00000000-0005-0000-0000-0000A10F0000}"/>
    <cellStyle name="Normal 2 4 2 5 4 2 2 2" xfId="16101" xr:uid="{2A4B38D3-43B0-476E-82A4-0CD61EA33D42}"/>
    <cellStyle name="Normal 2 4 2 5 4 2 3" xfId="11883" xr:uid="{ACD6D7E2-6F97-4854-BCDE-439A4309745D}"/>
    <cellStyle name="Normal 2 4 2 5 4 3" xfId="5514" xr:uid="{00000000-0005-0000-0000-0000A20F0000}"/>
    <cellStyle name="Normal 2 4 2 5 4 3 2" xfId="13956" xr:uid="{40A8E189-2025-4FCC-BB7D-7D8843589360}"/>
    <cellStyle name="Normal 2 4 2 5 4 4" xfId="9738" xr:uid="{C62F33E7-EC34-49B0-BE44-779A1CAD51E2}"/>
    <cellStyle name="Normal 2 4 2 5 5" xfId="1619" xr:uid="{00000000-0005-0000-0000-0000A30F0000}"/>
    <cellStyle name="Normal 2 4 2 5 5 2" xfId="3849" xr:uid="{00000000-0005-0000-0000-0000A40F0000}"/>
    <cellStyle name="Normal 2 4 2 5 5 2 2" xfId="8072" xr:uid="{00000000-0005-0000-0000-0000A50F0000}"/>
    <cellStyle name="Normal 2 4 2 5 5 2 2 2" xfId="16514" xr:uid="{25E9FBBD-2B24-41BA-9FAF-15DE8254EA23}"/>
    <cellStyle name="Normal 2 4 2 5 5 2 3" xfId="12296" xr:uid="{8C013348-C26A-4140-A8F8-E38D3F2BB5DD}"/>
    <cellStyle name="Normal 2 4 2 5 5 3" xfId="5927" xr:uid="{00000000-0005-0000-0000-0000A60F0000}"/>
    <cellStyle name="Normal 2 4 2 5 5 3 2" xfId="14369" xr:uid="{C69E3127-D030-4D48-82E8-2A18D7633BB3}"/>
    <cellStyle name="Normal 2 4 2 5 5 4" xfId="10151" xr:uid="{65587FCB-11A1-4EE3-91AF-412089730F62}"/>
    <cellStyle name="Normal 2 4 2 5 6" xfId="2033" xr:uid="{00000000-0005-0000-0000-0000A70F0000}"/>
    <cellStyle name="Normal 2 4 2 5 6 2" xfId="4262" xr:uid="{00000000-0005-0000-0000-0000A80F0000}"/>
    <cellStyle name="Normal 2 4 2 5 6 2 2" xfId="8485" xr:uid="{00000000-0005-0000-0000-0000A90F0000}"/>
    <cellStyle name="Normal 2 4 2 5 6 2 2 2" xfId="16927" xr:uid="{AEE44C10-37AD-4CAB-B2F7-6D99F0FF8BE9}"/>
    <cellStyle name="Normal 2 4 2 5 6 2 3" xfId="12709" xr:uid="{D511609A-EDCA-4F06-9418-034010C0EE47}"/>
    <cellStyle name="Normal 2 4 2 5 6 3" xfId="6340" xr:uid="{00000000-0005-0000-0000-0000AA0F0000}"/>
    <cellStyle name="Normal 2 4 2 5 6 3 2" xfId="14782" xr:uid="{1C62B629-F4BC-4B08-B93A-B968983F3162}"/>
    <cellStyle name="Normal 2 4 2 5 6 4" xfId="10564" xr:uid="{62A47B2F-0E49-447E-9B6B-9A1527EEE149}"/>
    <cellStyle name="Normal 2 4 2 5 7" xfId="2469" xr:uid="{00000000-0005-0000-0000-0000AB0F0000}"/>
    <cellStyle name="Normal 2 4 2 5 7 2" xfId="6753" xr:uid="{00000000-0005-0000-0000-0000AC0F0000}"/>
    <cellStyle name="Normal 2 4 2 5 7 2 2" xfId="15195" xr:uid="{0871C4B8-9687-461B-B27C-72484113A9BF}"/>
    <cellStyle name="Normal 2 4 2 5 7 3" xfId="10977" xr:uid="{A79971D2-309F-4D50-9F3B-D6A10C1944CA}"/>
    <cellStyle name="Normal 2 4 2 5 8" xfId="4687" xr:uid="{00000000-0005-0000-0000-0000AD0F0000}"/>
    <cellStyle name="Normal 2 4 2 5 8 2" xfId="13129" xr:uid="{01D8BBBE-4709-4FE4-A917-1C0FC9D21926}"/>
    <cellStyle name="Normal 2 4 2 5 9" xfId="8911" xr:uid="{E7202FD1-5678-47FD-9043-D726F93AD545}"/>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2 2 2" xfId="15690" xr:uid="{2454915B-CA8F-41A2-A95B-EDFB47093FA4}"/>
    <cellStyle name="Normal 2 4 2 6 2 2 3" xfId="11472" xr:uid="{F186AA03-F4D5-46C2-8295-E3008EC615B1}"/>
    <cellStyle name="Normal 2 4 2 6 2 3" xfId="5103" xr:uid="{00000000-0005-0000-0000-0000B20F0000}"/>
    <cellStyle name="Normal 2 4 2 6 2 3 2" xfId="13545" xr:uid="{28CD3D3E-E7AF-4BA4-8E34-3EBE15A295C7}"/>
    <cellStyle name="Normal 2 4 2 6 2 4" xfId="9327" xr:uid="{FF9D08C4-27FB-472A-8FF6-81C0336B725F}"/>
    <cellStyle name="Normal 2 4 2 6 3" xfId="1208" xr:uid="{00000000-0005-0000-0000-0000B30F0000}"/>
    <cellStyle name="Normal 2 4 2 6 3 2" xfId="3438" xr:uid="{00000000-0005-0000-0000-0000B40F0000}"/>
    <cellStyle name="Normal 2 4 2 6 3 2 2" xfId="7661" xr:uid="{00000000-0005-0000-0000-0000B50F0000}"/>
    <cellStyle name="Normal 2 4 2 6 3 2 2 2" xfId="16103" xr:uid="{236DB8CE-7B3F-48F7-8755-9CA73E034CB4}"/>
    <cellStyle name="Normal 2 4 2 6 3 2 3" xfId="11885" xr:uid="{D86E2228-6873-4E49-92E4-29C5E5DE2DD9}"/>
    <cellStyle name="Normal 2 4 2 6 3 3" xfId="5516" xr:uid="{00000000-0005-0000-0000-0000B60F0000}"/>
    <cellStyle name="Normal 2 4 2 6 3 3 2" xfId="13958" xr:uid="{3DDBD582-AAFE-432C-B118-F8E83D47E265}"/>
    <cellStyle name="Normal 2 4 2 6 3 4" xfId="9740" xr:uid="{2C862C11-B5F1-4B68-85A7-719DC3B9A9EC}"/>
    <cellStyle name="Normal 2 4 2 6 4" xfId="1621" xr:uid="{00000000-0005-0000-0000-0000B70F0000}"/>
    <cellStyle name="Normal 2 4 2 6 4 2" xfId="3851" xr:uid="{00000000-0005-0000-0000-0000B80F0000}"/>
    <cellStyle name="Normal 2 4 2 6 4 2 2" xfId="8074" xr:uid="{00000000-0005-0000-0000-0000B90F0000}"/>
    <cellStyle name="Normal 2 4 2 6 4 2 2 2" xfId="16516" xr:uid="{E525E254-755B-494F-ABE1-FBAE648183D0}"/>
    <cellStyle name="Normal 2 4 2 6 4 2 3" xfId="12298" xr:uid="{8C3518EB-41DE-4814-B316-F5D712A7DB0B}"/>
    <cellStyle name="Normal 2 4 2 6 4 3" xfId="5929" xr:uid="{00000000-0005-0000-0000-0000BA0F0000}"/>
    <cellStyle name="Normal 2 4 2 6 4 3 2" xfId="14371" xr:uid="{8D0E8593-D544-46A5-B9C2-4AFAA17BE430}"/>
    <cellStyle name="Normal 2 4 2 6 4 4" xfId="10153" xr:uid="{40868D0C-F1A0-4CF9-B47E-868BEC757FB4}"/>
    <cellStyle name="Normal 2 4 2 6 5" xfId="2035" xr:uid="{00000000-0005-0000-0000-0000BB0F0000}"/>
    <cellStyle name="Normal 2 4 2 6 5 2" xfId="4264" xr:uid="{00000000-0005-0000-0000-0000BC0F0000}"/>
    <cellStyle name="Normal 2 4 2 6 5 2 2" xfId="8487" xr:uid="{00000000-0005-0000-0000-0000BD0F0000}"/>
    <cellStyle name="Normal 2 4 2 6 5 2 2 2" xfId="16929" xr:uid="{6D00DEB9-C3A7-443B-B17E-2292B21E5F44}"/>
    <cellStyle name="Normal 2 4 2 6 5 2 3" xfId="12711" xr:uid="{04042810-680E-4A01-A13F-06C07F07300A}"/>
    <cellStyle name="Normal 2 4 2 6 5 3" xfId="6342" xr:uid="{00000000-0005-0000-0000-0000BE0F0000}"/>
    <cellStyle name="Normal 2 4 2 6 5 3 2" xfId="14784" xr:uid="{3000F6F7-1EA5-40CB-97B2-036949B2E6B7}"/>
    <cellStyle name="Normal 2 4 2 6 5 4" xfId="10566" xr:uid="{74552162-1EE0-46CA-9D2F-CC67BC27B3A6}"/>
    <cellStyle name="Normal 2 4 2 6 6" xfId="2471" xr:uid="{00000000-0005-0000-0000-0000BF0F0000}"/>
    <cellStyle name="Normal 2 4 2 6 6 2" xfId="6755" xr:uid="{00000000-0005-0000-0000-0000C00F0000}"/>
    <cellStyle name="Normal 2 4 2 6 6 2 2" xfId="15197" xr:uid="{10ADB89A-2B2D-46C2-B7C0-36ACBF574C50}"/>
    <cellStyle name="Normal 2 4 2 6 6 3" xfId="10979" xr:uid="{011F81B5-D0AC-4F33-A23D-F4863BA26ECD}"/>
    <cellStyle name="Normal 2 4 2 6 7" xfId="4689" xr:uid="{00000000-0005-0000-0000-0000C10F0000}"/>
    <cellStyle name="Normal 2 4 2 6 7 2" xfId="13131" xr:uid="{71245C14-BFBE-462A-839F-6E23DF0E83F6}"/>
    <cellStyle name="Normal 2 4 2 6 8" xfId="8913" xr:uid="{26004518-CEF8-4846-8C30-678DB256F4ED}"/>
    <cellStyle name="Normal 2 4 2 7" xfId="771" xr:uid="{00000000-0005-0000-0000-0000C20F0000}"/>
    <cellStyle name="Normal 2 4 2 7 2" xfId="3010" xr:uid="{00000000-0005-0000-0000-0000C30F0000}"/>
    <cellStyle name="Normal 2 4 2 7 2 2" xfId="7233" xr:uid="{00000000-0005-0000-0000-0000C40F0000}"/>
    <cellStyle name="Normal 2 4 2 7 2 2 2" xfId="15675" xr:uid="{1DFC1A6C-5EE0-49E3-A470-B18711414B4C}"/>
    <cellStyle name="Normal 2 4 2 7 2 3" xfId="11457" xr:uid="{04BADD9F-1BA7-46A3-913E-E2DC5B49ECF5}"/>
    <cellStyle name="Normal 2 4 2 7 3" xfId="5088" xr:uid="{00000000-0005-0000-0000-0000C50F0000}"/>
    <cellStyle name="Normal 2 4 2 7 3 2" xfId="13530" xr:uid="{12C65B8E-6AF2-43A7-A204-D638F7A09A5B}"/>
    <cellStyle name="Normal 2 4 2 7 4" xfId="9312" xr:uid="{49B86110-CAFD-4805-B807-5CA2E1A998E8}"/>
    <cellStyle name="Normal 2 4 2 8" xfId="1193" xr:uid="{00000000-0005-0000-0000-0000C60F0000}"/>
    <cellStyle name="Normal 2 4 2 8 2" xfId="3423" xr:uid="{00000000-0005-0000-0000-0000C70F0000}"/>
    <cellStyle name="Normal 2 4 2 8 2 2" xfId="7646" xr:uid="{00000000-0005-0000-0000-0000C80F0000}"/>
    <cellStyle name="Normal 2 4 2 8 2 2 2" xfId="16088" xr:uid="{0CBE43DE-6820-451E-A459-6761C3721BD1}"/>
    <cellStyle name="Normal 2 4 2 8 2 3" xfId="11870" xr:uid="{A057FA06-A04A-48A8-88C9-42136D5A3179}"/>
    <cellStyle name="Normal 2 4 2 8 3" xfId="5501" xr:uid="{00000000-0005-0000-0000-0000C90F0000}"/>
    <cellStyle name="Normal 2 4 2 8 3 2" xfId="13943" xr:uid="{F9E27B51-CD3B-4B41-9FEE-B7E032922AD4}"/>
    <cellStyle name="Normal 2 4 2 8 4" xfId="9725" xr:uid="{CDD1262E-796B-43FA-9CF2-8EE84D0FE1C3}"/>
    <cellStyle name="Normal 2 4 2 9" xfId="1606" xr:uid="{00000000-0005-0000-0000-0000CA0F0000}"/>
    <cellStyle name="Normal 2 4 2 9 2" xfId="3836" xr:uid="{00000000-0005-0000-0000-0000CB0F0000}"/>
    <cellStyle name="Normal 2 4 2 9 2 2" xfId="8059" xr:uid="{00000000-0005-0000-0000-0000CC0F0000}"/>
    <cellStyle name="Normal 2 4 2 9 2 2 2" xfId="16501" xr:uid="{28B9512B-9C18-4ADF-A32A-029BE7E52D83}"/>
    <cellStyle name="Normal 2 4 2 9 2 3" xfId="12283" xr:uid="{1A21344A-70AA-4D9A-AEEE-7FDB2584E8F7}"/>
    <cellStyle name="Normal 2 4 2 9 3" xfId="5914" xr:uid="{00000000-0005-0000-0000-0000CD0F0000}"/>
    <cellStyle name="Normal 2 4 2 9 3 2" xfId="14356" xr:uid="{05F4808D-838D-4C2D-95AB-54415E03927C}"/>
    <cellStyle name="Normal 2 4 2 9 4" xfId="10138" xr:uid="{9836A16E-6D76-4517-9DFE-08BCB16D6652}"/>
    <cellStyle name="Normal 2 4 3" xfId="296" xr:uid="{00000000-0005-0000-0000-0000CE0F0000}"/>
    <cellStyle name="Normal 2 4 3 10" xfId="8914" xr:uid="{A2DD2989-5F53-4BB2-859B-20EC744DF8AE}"/>
    <cellStyle name="Normal 2 4 3 2" xfId="297" xr:uid="{00000000-0005-0000-0000-0000CF0F0000}"/>
    <cellStyle name="Normal 2 4 3 3" xfId="298" xr:uid="{00000000-0005-0000-0000-0000D00F0000}"/>
    <cellStyle name="Normal 2 4 3 3 10" xfId="8915" xr:uid="{C0A41CFF-BA25-49DA-9B9B-55D019AAD024}"/>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2 2 2" xfId="15694" xr:uid="{B6EE3D49-71DF-49CB-B59D-8B3AAB6B0BC8}"/>
    <cellStyle name="Normal 2 4 3 3 2 2 2 2 3" xfId="11476" xr:uid="{5F23C9EE-64C8-4486-9ED0-7DB151637DE3}"/>
    <cellStyle name="Normal 2 4 3 3 2 2 2 3" xfId="5107" xr:uid="{00000000-0005-0000-0000-0000D60F0000}"/>
    <cellStyle name="Normal 2 4 3 3 2 2 2 3 2" xfId="13549" xr:uid="{F4075232-7BE6-4639-8A38-15DA1BEB6403}"/>
    <cellStyle name="Normal 2 4 3 3 2 2 2 4" xfId="9331" xr:uid="{764A4DF8-EC02-4CFA-B113-38F620052DCF}"/>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2 2 2" xfId="16107" xr:uid="{8E178699-6BA0-4641-972E-148EF39FAE4D}"/>
    <cellStyle name="Normal 2 4 3 3 2 2 3 2 3" xfId="11889" xr:uid="{FC39581F-8315-46B1-A3DD-CF733D5C5709}"/>
    <cellStyle name="Normal 2 4 3 3 2 2 3 3" xfId="5520" xr:uid="{00000000-0005-0000-0000-0000DA0F0000}"/>
    <cellStyle name="Normal 2 4 3 3 2 2 3 3 2" xfId="13962" xr:uid="{8DA4CD6F-8ADD-49F0-9E9F-0C6DD30E9C74}"/>
    <cellStyle name="Normal 2 4 3 3 2 2 3 4" xfId="9744" xr:uid="{E3E30E8B-D2D3-4699-902F-6FDAD608408E}"/>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2 2 2" xfId="16520" xr:uid="{EF944046-3896-455A-A9E5-9E7FDF6C3C5A}"/>
    <cellStyle name="Normal 2 4 3 3 2 2 4 2 3" xfId="12302" xr:uid="{93BA8AA0-9FA3-4DF1-A5E1-6841505DC983}"/>
    <cellStyle name="Normal 2 4 3 3 2 2 4 3" xfId="5933" xr:uid="{00000000-0005-0000-0000-0000DE0F0000}"/>
    <cellStyle name="Normal 2 4 3 3 2 2 4 3 2" xfId="14375" xr:uid="{9ED10703-0148-4C9C-8041-9408523BDA2C}"/>
    <cellStyle name="Normal 2 4 3 3 2 2 4 4" xfId="10157" xr:uid="{F9AEC4D6-80D8-4FEC-8EFA-084418C5A038}"/>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2 2 2" xfId="16933" xr:uid="{354A3001-8BA0-42C4-B8BF-E03354F9896B}"/>
    <cellStyle name="Normal 2 4 3 3 2 2 5 2 3" xfId="12715" xr:uid="{D3205EEE-6E20-4D6B-9D24-2D15CA3CB7C4}"/>
    <cellStyle name="Normal 2 4 3 3 2 2 5 3" xfId="6346" xr:uid="{00000000-0005-0000-0000-0000E20F0000}"/>
    <cellStyle name="Normal 2 4 3 3 2 2 5 3 2" xfId="14788" xr:uid="{4648076A-E272-4E98-B199-EFB6C41AC9A7}"/>
    <cellStyle name="Normal 2 4 3 3 2 2 5 4" xfId="10570" xr:uid="{AF0745F6-E64D-4CF8-8615-64FB3037DC78}"/>
    <cellStyle name="Normal 2 4 3 3 2 2 6" xfId="2475" xr:uid="{00000000-0005-0000-0000-0000E30F0000}"/>
    <cellStyle name="Normal 2 4 3 3 2 2 6 2" xfId="6759" xr:uid="{00000000-0005-0000-0000-0000E40F0000}"/>
    <cellStyle name="Normal 2 4 3 3 2 2 6 2 2" xfId="15201" xr:uid="{5DC3246E-AD6E-41E4-A834-CCC101FF7A0A}"/>
    <cellStyle name="Normal 2 4 3 3 2 2 6 3" xfId="10983" xr:uid="{BFDE3795-DB30-4C7D-AF47-F99AAD7B5CFB}"/>
    <cellStyle name="Normal 2 4 3 3 2 2 7" xfId="4693" xr:uid="{00000000-0005-0000-0000-0000E50F0000}"/>
    <cellStyle name="Normal 2 4 3 3 2 2 7 2" xfId="13135" xr:uid="{5DA4172F-CC6B-44B3-90DB-3730DA5C5258}"/>
    <cellStyle name="Normal 2 4 3 3 2 2 8" xfId="8917" xr:uid="{A0FA37A1-F49D-4463-8158-51E9A8856771}"/>
    <cellStyle name="Normal 2 4 3 3 2 3" xfId="789" xr:uid="{00000000-0005-0000-0000-0000E60F0000}"/>
    <cellStyle name="Normal 2 4 3 3 2 3 2" xfId="3028" xr:uid="{00000000-0005-0000-0000-0000E70F0000}"/>
    <cellStyle name="Normal 2 4 3 3 2 3 2 2" xfId="7251" xr:uid="{00000000-0005-0000-0000-0000E80F0000}"/>
    <cellStyle name="Normal 2 4 3 3 2 3 2 2 2" xfId="15693" xr:uid="{FCAD1A18-A07C-4433-A913-72C3CBA90DA2}"/>
    <cellStyle name="Normal 2 4 3 3 2 3 2 3" xfId="11475" xr:uid="{D926C5C1-3B88-4C57-868D-82A34CE7DADB}"/>
    <cellStyle name="Normal 2 4 3 3 2 3 3" xfId="5106" xr:uid="{00000000-0005-0000-0000-0000E90F0000}"/>
    <cellStyle name="Normal 2 4 3 3 2 3 3 2" xfId="13548" xr:uid="{4B0B824C-FD2E-4912-91EE-3ECD0BA6EE88}"/>
    <cellStyle name="Normal 2 4 3 3 2 3 4" xfId="9330" xr:uid="{85A9F1E5-29B0-477C-A050-292FC29A53AB}"/>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2 2 2" xfId="16106" xr:uid="{DB80E36F-CEF4-419A-851C-0A79F3639CFF}"/>
    <cellStyle name="Normal 2 4 3 3 2 4 2 3" xfId="11888" xr:uid="{3ED6063D-11EE-42B7-937A-93D91CD60DF1}"/>
    <cellStyle name="Normal 2 4 3 3 2 4 3" xfId="5519" xr:uid="{00000000-0005-0000-0000-0000ED0F0000}"/>
    <cellStyle name="Normal 2 4 3 3 2 4 3 2" xfId="13961" xr:uid="{C49F2EAE-36FD-428F-9C38-06734E2D7776}"/>
    <cellStyle name="Normal 2 4 3 3 2 4 4" xfId="9743" xr:uid="{ED9B6CC6-3CB2-43FF-8FCC-306FCD051EFC}"/>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2 2 2" xfId="16519" xr:uid="{6CAED9EA-64E1-41C2-9776-9F0D3922CDC8}"/>
    <cellStyle name="Normal 2 4 3 3 2 5 2 3" xfId="12301" xr:uid="{923DF37C-D34E-400A-A241-0C6CEBC47125}"/>
    <cellStyle name="Normal 2 4 3 3 2 5 3" xfId="5932" xr:uid="{00000000-0005-0000-0000-0000F10F0000}"/>
    <cellStyle name="Normal 2 4 3 3 2 5 3 2" xfId="14374" xr:uid="{F56A9DFB-522C-42B0-9F6F-F7F4BDC6960A}"/>
    <cellStyle name="Normal 2 4 3 3 2 5 4" xfId="10156" xr:uid="{E015BB3D-8F2B-44E5-A2A9-C942F89A311B}"/>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2 2 2" xfId="16932" xr:uid="{634E35AE-28B8-40CE-946D-78F7D8130DEF}"/>
    <cellStyle name="Normal 2 4 3 3 2 6 2 3" xfId="12714" xr:uid="{B7B7417E-2D5B-48B6-850E-E47905EE7AE3}"/>
    <cellStyle name="Normal 2 4 3 3 2 6 3" xfId="6345" xr:uid="{00000000-0005-0000-0000-0000F50F0000}"/>
    <cellStyle name="Normal 2 4 3 3 2 6 3 2" xfId="14787" xr:uid="{E55E9C9E-6C03-4683-9239-223EFBD4B979}"/>
    <cellStyle name="Normal 2 4 3 3 2 6 4" xfId="10569" xr:uid="{71013CDB-4DF4-4827-AFB0-14B22049FB3F}"/>
    <cellStyle name="Normal 2 4 3 3 2 7" xfId="2474" xr:uid="{00000000-0005-0000-0000-0000F60F0000}"/>
    <cellStyle name="Normal 2 4 3 3 2 7 2" xfId="6758" xr:uid="{00000000-0005-0000-0000-0000F70F0000}"/>
    <cellStyle name="Normal 2 4 3 3 2 7 2 2" xfId="15200" xr:uid="{79C85B25-0156-4960-BBCA-7350C52E17CE}"/>
    <cellStyle name="Normal 2 4 3 3 2 7 3" xfId="10982" xr:uid="{E2B52767-E147-4131-9D7D-9EF5E4520E29}"/>
    <cellStyle name="Normal 2 4 3 3 2 8" xfId="4692" xr:uid="{00000000-0005-0000-0000-0000F80F0000}"/>
    <cellStyle name="Normal 2 4 3 3 2 8 2" xfId="13134" xr:uid="{846AA824-FAA8-4494-A7B8-E2585171FA46}"/>
    <cellStyle name="Normal 2 4 3 3 2 9" xfId="8916" xr:uid="{60E35944-0FD2-4CAF-8412-908B2D323303}"/>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2 2 2" xfId="15695" xr:uid="{AECB4968-887B-48C6-9CA3-F988786EF76B}"/>
    <cellStyle name="Normal 2 4 3 3 3 2 2 3" xfId="11477" xr:uid="{37ED2ED4-B1ED-4F7D-9349-8BBC9AC43641}"/>
    <cellStyle name="Normal 2 4 3 3 3 2 3" xfId="5108" xr:uid="{00000000-0005-0000-0000-0000FD0F0000}"/>
    <cellStyle name="Normal 2 4 3 3 3 2 3 2" xfId="13550" xr:uid="{AB298FCE-4B15-4584-A8BF-9B18B2FC2410}"/>
    <cellStyle name="Normal 2 4 3 3 3 2 4" xfId="9332" xr:uid="{109B1549-6940-4291-86ED-7DE5E63D8C6C}"/>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2 2 2" xfId="16108" xr:uid="{E60E902E-CE1A-4E01-B2B8-3424417DB3AC}"/>
    <cellStyle name="Normal 2 4 3 3 3 3 2 3" xfId="11890" xr:uid="{515774AE-F52A-462F-A644-FB37E5434D40}"/>
    <cellStyle name="Normal 2 4 3 3 3 3 3" xfId="5521" xr:uid="{00000000-0005-0000-0000-000001100000}"/>
    <cellStyle name="Normal 2 4 3 3 3 3 3 2" xfId="13963" xr:uid="{3B60DA7A-C1DD-4905-815B-7809585F171A}"/>
    <cellStyle name="Normal 2 4 3 3 3 3 4" xfId="9745" xr:uid="{A8FE222E-3A2B-4F8B-B3AA-B967121CBA7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2 2 2" xfId="16521" xr:uid="{0E3463E7-E9CC-4C9D-A9FC-EE00A9254EA8}"/>
    <cellStyle name="Normal 2 4 3 3 3 4 2 3" xfId="12303" xr:uid="{5AB812A0-D394-470C-8396-B9AB740DCBB3}"/>
    <cellStyle name="Normal 2 4 3 3 3 4 3" xfId="5934" xr:uid="{00000000-0005-0000-0000-000005100000}"/>
    <cellStyle name="Normal 2 4 3 3 3 4 3 2" xfId="14376" xr:uid="{2420F4CB-CE4A-4C38-9C40-D0D3D0F6C5EF}"/>
    <cellStyle name="Normal 2 4 3 3 3 4 4" xfId="10158" xr:uid="{A64C4960-5464-47EF-A37A-6D86B37F8EF3}"/>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2 2 2" xfId="16934" xr:uid="{2ADFBAAC-96C0-4326-8AD7-13DA9094026F}"/>
    <cellStyle name="Normal 2 4 3 3 3 5 2 3" xfId="12716" xr:uid="{04A85082-4FEE-40EC-9CD2-14BFDBE8FB89}"/>
    <cellStyle name="Normal 2 4 3 3 3 5 3" xfId="6347" xr:uid="{00000000-0005-0000-0000-000009100000}"/>
    <cellStyle name="Normal 2 4 3 3 3 5 3 2" xfId="14789" xr:uid="{90799237-1FF8-4D39-97BB-795052AD7E95}"/>
    <cellStyle name="Normal 2 4 3 3 3 5 4" xfId="10571" xr:uid="{A2AA355D-7E77-4B22-BC04-B94B7BE63992}"/>
    <cellStyle name="Normal 2 4 3 3 3 6" xfId="2476" xr:uid="{00000000-0005-0000-0000-00000A100000}"/>
    <cellStyle name="Normal 2 4 3 3 3 6 2" xfId="6760" xr:uid="{00000000-0005-0000-0000-00000B100000}"/>
    <cellStyle name="Normal 2 4 3 3 3 6 2 2" xfId="15202" xr:uid="{C0DB78A5-3A20-4065-9B0A-16FD4D0DCA5C}"/>
    <cellStyle name="Normal 2 4 3 3 3 6 3" xfId="10984" xr:uid="{B70F1232-5830-41DE-A8B7-85DD7654365F}"/>
    <cellStyle name="Normal 2 4 3 3 3 7" xfId="4694" xr:uid="{00000000-0005-0000-0000-00000C100000}"/>
    <cellStyle name="Normal 2 4 3 3 3 7 2" xfId="13136" xr:uid="{1E1DB94D-6733-47D6-81A2-32DE9D4C592F}"/>
    <cellStyle name="Normal 2 4 3 3 3 8" xfId="8918" xr:uid="{4DDAFC65-E930-41F1-8BF1-7EA060CA1D4A}"/>
    <cellStyle name="Normal 2 4 3 3 4" xfId="788" xr:uid="{00000000-0005-0000-0000-00000D100000}"/>
    <cellStyle name="Normal 2 4 3 3 4 2" xfId="3027" xr:uid="{00000000-0005-0000-0000-00000E100000}"/>
    <cellStyle name="Normal 2 4 3 3 4 2 2" xfId="7250" xr:uid="{00000000-0005-0000-0000-00000F100000}"/>
    <cellStyle name="Normal 2 4 3 3 4 2 2 2" xfId="15692" xr:uid="{7A9E2ADA-5359-4FCC-A80D-5849AA95689E}"/>
    <cellStyle name="Normal 2 4 3 3 4 2 3" xfId="11474" xr:uid="{1CCF9928-FD85-4B35-889E-11A54ECC635A}"/>
    <cellStyle name="Normal 2 4 3 3 4 3" xfId="5105" xr:uid="{00000000-0005-0000-0000-000010100000}"/>
    <cellStyle name="Normal 2 4 3 3 4 3 2" xfId="13547" xr:uid="{E8777F50-58AB-4053-95E7-551088233E6D}"/>
    <cellStyle name="Normal 2 4 3 3 4 4" xfId="9329" xr:uid="{96AD491D-D473-451F-AC03-BD054D6C37BD}"/>
    <cellStyle name="Normal 2 4 3 3 5" xfId="1210" xr:uid="{00000000-0005-0000-0000-000011100000}"/>
    <cellStyle name="Normal 2 4 3 3 5 2" xfId="3440" xr:uid="{00000000-0005-0000-0000-000012100000}"/>
    <cellStyle name="Normal 2 4 3 3 5 2 2" xfId="7663" xr:uid="{00000000-0005-0000-0000-000013100000}"/>
    <cellStyle name="Normal 2 4 3 3 5 2 2 2" xfId="16105" xr:uid="{4B9D9129-E87C-4F45-BF5F-9638F683BFD7}"/>
    <cellStyle name="Normal 2 4 3 3 5 2 3" xfId="11887" xr:uid="{D30A2493-B5E8-4703-95D3-982082992FEF}"/>
    <cellStyle name="Normal 2 4 3 3 5 3" xfId="5518" xr:uid="{00000000-0005-0000-0000-000014100000}"/>
    <cellStyle name="Normal 2 4 3 3 5 3 2" xfId="13960" xr:uid="{E4E2D33F-E276-4A90-8A49-4444225274C8}"/>
    <cellStyle name="Normal 2 4 3 3 5 4" xfId="9742" xr:uid="{88519D6A-F5D3-4499-959B-7C696B6F0E13}"/>
    <cellStyle name="Normal 2 4 3 3 6" xfId="1623" xr:uid="{00000000-0005-0000-0000-000015100000}"/>
    <cellStyle name="Normal 2 4 3 3 6 2" xfId="3853" xr:uid="{00000000-0005-0000-0000-000016100000}"/>
    <cellStyle name="Normal 2 4 3 3 6 2 2" xfId="8076" xr:uid="{00000000-0005-0000-0000-000017100000}"/>
    <cellStyle name="Normal 2 4 3 3 6 2 2 2" xfId="16518" xr:uid="{1F436C77-F0C9-4398-AE4F-F686E62B8614}"/>
    <cellStyle name="Normal 2 4 3 3 6 2 3" xfId="12300" xr:uid="{C91B4CD6-59B6-49FA-8A17-D7A42CFE1817}"/>
    <cellStyle name="Normal 2 4 3 3 6 3" xfId="5931" xr:uid="{00000000-0005-0000-0000-000018100000}"/>
    <cellStyle name="Normal 2 4 3 3 6 3 2" xfId="14373" xr:uid="{C147F3FD-47F0-4B4B-B4C3-03C2BCC8F7C9}"/>
    <cellStyle name="Normal 2 4 3 3 6 4" xfId="10155" xr:uid="{F35DEB85-E7C4-47BE-8233-A94699EB0EE7}"/>
    <cellStyle name="Normal 2 4 3 3 7" xfId="2037" xr:uid="{00000000-0005-0000-0000-000019100000}"/>
    <cellStyle name="Normal 2 4 3 3 7 2" xfId="4266" xr:uid="{00000000-0005-0000-0000-00001A100000}"/>
    <cellStyle name="Normal 2 4 3 3 7 2 2" xfId="8489" xr:uid="{00000000-0005-0000-0000-00001B100000}"/>
    <cellStyle name="Normal 2 4 3 3 7 2 2 2" xfId="16931" xr:uid="{DB979719-6EA6-49D1-B637-08824058059B}"/>
    <cellStyle name="Normal 2 4 3 3 7 2 3" xfId="12713" xr:uid="{994C2E2F-AB4F-4FA4-A2E1-1CC7E75A274B}"/>
    <cellStyle name="Normal 2 4 3 3 7 3" xfId="6344" xr:uid="{00000000-0005-0000-0000-00001C100000}"/>
    <cellStyle name="Normal 2 4 3 3 7 3 2" xfId="14786" xr:uid="{FD7F2F8A-179E-417F-AE42-B2987648C8AD}"/>
    <cellStyle name="Normal 2 4 3 3 7 4" xfId="10568" xr:uid="{B04AFC7B-8116-48BE-A25C-54F5DED58FB1}"/>
    <cellStyle name="Normal 2 4 3 3 8" xfId="2473" xr:uid="{00000000-0005-0000-0000-00001D100000}"/>
    <cellStyle name="Normal 2 4 3 3 8 2" xfId="6757" xr:uid="{00000000-0005-0000-0000-00001E100000}"/>
    <cellStyle name="Normal 2 4 3 3 8 2 2" xfId="15199" xr:uid="{EAE26817-5AF5-494A-897D-FF9B3D5617F1}"/>
    <cellStyle name="Normal 2 4 3 3 8 3" xfId="10981" xr:uid="{001D16C5-82AD-43C2-8B7B-503CAAAC5B74}"/>
    <cellStyle name="Normal 2 4 3 3 9" xfId="4691" xr:uid="{00000000-0005-0000-0000-00001F100000}"/>
    <cellStyle name="Normal 2 4 3 3 9 2" xfId="13133" xr:uid="{65F8F7D9-C794-48DA-8573-F72CD78B17CC}"/>
    <cellStyle name="Normal 2 4 3 4" xfId="787" xr:uid="{00000000-0005-0000-0000-000020100000}"/>
    <cellStyle name="Normal 2 4 3 4 2" xfId="3026" xr:uid="{00000000-0005-0000-0000-000021100000}"/>
    <cellStyle name="Normal 2 4 3 4 2 2" xfId="7249" xr:uid="{00000000-0005-0000-0000-000022100000}"/>
    <cellStyle name="Normal 2 4 3 4 2 2 2" xfId="15691" xr:uid="{72F7AC3B-575E-4F67-9AE6-F44F7A3EEE66}"/>
    <cellStyle name="Normal 2 4 3 4 2 3" xfId="11473" xr:uid="{01919C38-54A7-4E27-84D5-5131C331E275}"/>
    <cellStyle name="Normal 2 4 3 4 3" xfId="5104" xr:uid="{00000000-0005-0000-0000-000023100000}"/>
    <cellStyle name="Normal 2 4 3 4 3 2" xfId="13546" xr:uid="{AD152400-0AD1-46B8-BD14-C7990FAE47D6}"/>
    <cellStyle name="Normal 2 4 3 4 4" xfId="9328" xr:uid="{F1372C12-C736-4C89-8E35-A42CE6C4A257}"/>
    <cellStyle name="Normal 2 4 3 5" xfId="1209" xr:uid="{00000000-0005-0000-0000-000024100000}"/>
    <cellStyle name="Normal 2 4 3 5 2" xfId="3439" xr:uid="{00000000-0005-0000-0000-000025100000}"/>
    <cellStyle name="Normal 2 4 3 5 2 2" xfId="7662" xr:uid="{00000000-0005-0000-0000-000026100000}"/>
    <cellStyle name="Normal 2 4 3 5 2 2 2" xfId="16104" xr:uid="{1FE54612-D2A8-45A1-A097-5A16AD63E336}"/>
    <cellStyle name="Normal 2 4 3 5 2 3" xfId="11886" xr:uid="{B476C867-60E9-4565-84B0-E104FA71C978}"/>
    <cellStyle name="Normal 2 4 3 5 3" xfId="5517" xr:uid="{00000000-0005-0000-0000-000027100000}"/>
    <cellStyle name="Normal 2 4 3 5 3 2" xfId="13959" xr:uid="{C417FEA1-63B5-4426-BCB1-19FC46D87C7F}"/>
    <cellStyle name="Normal 2 4 3 5 4" xfId="9741" xr:uid="{890C9062-CEEF-41C9-BC61-6FCA832D710D}"/>
    <cellStyle name="Normal 2 4 3 6" xfId="1622" xr:uid="{00000000-0005-0000-0000-000028100000}"/>
    <cellStyle name="Normal 2 4 3 6 2" xfId="3852" xr:uid="{00000000-0005-0000-0000-000029100000}"/>
    <cellStyle name="Normal 2 4 3 6 2 2" xfId="8075" xr:uid="{00000000-0005-0000-0000-00002A100000}"/>
    <cellStyle name="Normal 2 4 3 6 2 2 2" xfId="16517" xr:uid="{F10FCE15-B8E3-4689-9A53-D71E3508B3F6}"/>
    <cellStyle name="Normal 2 4 3 6 2 3" xfId="12299" xr:uid="{A2B2C3E3-AB97-4E5C-9453-A917CBA7A18D}"/>
    <cellStyle name="Normal 2 4 3 6 3" xfId="5930" xr:uid="{00000000-0005-0000-0000-00002B100000}"/>
    <cellStyle name="Normal 2 4 3 6 3 2" xfId="14372" xr:uid="{34950DBE-2887-40C9-B49B-2C96F39123E9}"/>
    <cellStyle name="Normal 2 4 3 6 4" xfId="10154" xr:uid="{29E11253-FEBB-444A-B517-3DE1F56E464E}"/>
    <cellStyle name="Normal 2 4 3 7" xfId="2036" xr:uid="{00000000-0005-0000-0000-00002C100000}"/>
    <cellStyle name="Normal 2 4 3 7 2" xfId="4265" xr:uid="{00000000-0005-0000-0000-00002D100000}"/>
    <cellStyle name="Normal 2 4 3 7 2 2" xfId="8488" xr:uid="{00000000-0005-0000-0000-00002E100000}"/>
    <cellStyle name="Normal 2 4 3 7 2 2 2" xfId="16930" xr:uid="{D3265F8B-0B6B-41BF-BC05-CB604A25DEFA}"/>
    <cellStyle name="Normal 2 4 3 7 2 3" xfId="12712" xr:uid="{E1A86918-5837-481A-A304-F0059E120BDB}"/>
    <cellStyle name="Normal 2 4 3 7 3" xfId="6343" xr:uid="{00000000-0005-0000-0000-00002F100000}"/>
    <cellStyle name="Normal 2 4 3 7 3 2" xfId="14785" xr:uid="{3A0D77C1-D7C8-4A6D-910E-F2586E6CBDB0}"/>
    <cellStyle name="Normal 2 4 3 7 4" xfId="10567" xr:uid="{8C4C2D3D-A55B-4CD2-B2D6-AA7981022DFB}"/>
    <cellStyle name="Normal 2 4 3 8" xfId="2472" xr:uid="{00000000-0005-0000-0000-000030100000}"/>
    <cellStyle name="Normal 2 4 3 8 2" xfId="6756" xr:uid="{00000000-0005-0000-0000-000031100000}"/>
    <cellStyle name="Normal 2 4 3 8 2 2" xfId="15198" xr:uid="{A7AB407F-3302-4EA2-8537-38C8B17DBDC0}"/>
    <cellStyle name="Normal 2 4 3 8 3" xfId="10980" xr:uid="{88752675-4DA3-4821-98A7-C20A7FCE6DE7}"/>
    <cellStyle name="Normal 2 4 3 9" xfId="4690" xr:uid="{00000000-0005-0000-0000-000032100000}"/>
    <cellStyle name="Normal 2 4 3 9 2" xfId="13132" xr:uid="{E15D4AFB-89A0-45FD-8CB7-6A85329F8F1A}"/>
    <cellStyle name="Normal 2 4 4" xfId="302" xr:uid="{00000000-0005-0000-0000-000033100000}"/>
    <cellStyle name="Normal 2 4 5" xfId="303" xr:uid="{00000000-0005-0000-0000-000034100000}"/>
    <cellStyle name="Normal 2 4 5 10" xfId="4695" xr:uid="{00000000-0005-0000-0000-000035100000}"/>
    <cellStyle name="Normal 2 4 5 10 2" xfId="13137" xr:uid="{4686E861-07E0-496B-BF04-D81089B25063}"/>
    <cellStyle name="Normal 2 4 5 11" xfId="8919" xr:uid="{91587C4B-12E4-40A9-B4DC-F423F251BB61}"/>
    <cellStyle name="Normal 2 4 5 2" xfId="304" xr:uid="{00000000-0005-0000-0000-000036100000}"/>
    <cellStyle name="Normal 2 4 5 2 10" xfId="8920" xr:uid="{85C481E9-CD48-4EA4-BDB4-D263E5A15372}"/>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2 2 2" xfId="15699" xr:uid="{43DEE175-397F-4D89-AAB3-080AB41142EE}"/>
    <cellStyle name="Normal 2 4 5 2 2 2 2 2 3" xfId="11481" xr:uid="{A886BFDB-AC8D-4A44-AF98-5A7388AF0C9F}"/>
    <cellStyle name="Normal 2 4 5 2 2 2 2 3" xfId="5112" xr:uid="{00000000-0005-0000-0000-00003C100000}"/>
    <cellStyle name="Normal 2 4 5 2 2 2 2 3 2" xfId="13554" xr:uid="{64C09626-AA8A-4A80-BDF2-1C7B610B387F}"/>
    <cellStyle name="Normal 2 4 5 2 2 2 2 4" xfId="9336" xr:uid="{6EF22D9D-320F-48EB-B6EE-FCFD30105A5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2 2 2" xfId="16112" xr:uid="{F9060F99-AF4D-4391-BDC7-2A1CF7092A5C}"/>
    <cellStyle name="Normal 2 4 5 2 2 2 3 2 3" xfId="11894" xr:uid="{6BE7DFEC-E216-4F13-9F6C-F79A1EB3568F}"/>
    <cellStyle name="Normal 2 4 5 2 2 2 3 3" xfId="5525" xr:uid="{00000000-0005-0000-0000-000040100000}"/>
    <cellStyle name="Normal 2 4 5 2 2 2 3 3 2" xfId="13967" xr:uid="{A17F7CE2-DC86-4483-A4D7-4F7B76F3FD38}"/>
    <cellStyle name="Normal 2 4 5 2 2 2 3 4" xfId="9749" xr:uid="{66FECF59-80D2-45F5-88D9-CEACBC2899AB}"/>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2 2 2" xfId="16525" xr:uid="{C70CE44A-CCAE-46C0-835A-1537B4299ED2}"/>
    <cellStyle name="Normal 2 4 5 2 2 2 4 2 3" xfId="12307" xr:uid="{B1349594-81BB-4365-8702-7F1E95E0FDCA}"/>
    <cellStyle name="Normal 2 4 5 2 2 2 4 3" xfId="5938" xr:uid="{00000000-0005-0000-0000-000044100000}"/>
    <cellStyle name="Normal 2 4 5 2 2 2 4 3 2" xfId="14380" xr:uid="{6192400C-BE0A-45D5-AFC3-A151AFA231E0}"/>
    <cellStyle name="Normal 2 4 5 2 2 2 4 4" xfId="10162" xr:uid="{F4E93748-BBF4-4550-B046-201684581BA4}"/>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2 2 2" xfId="16938" xr:uid="{DD816154-5FE9-47AE-9C94-A21C79BA1F32}"/>
    <cellStyle name="Normal 2 4 5 2 2 2 5 2 3" xfId="12720" xr:uid="{38D6CBE1-1ECF-4CA1-A8EA-D3337DE5C39D}"/>
    <cellStyle name="Normal 2 4 5 2 2 2 5 3" xfId="6351" xr:uid="{00000000-0005-0000-0000-000048100000}"/>
    <cellStyle name="Normal 2 4 5 2 2 2 5 3 2" xfId="14793" xr:uid="{0D394504-10EB-4AAB-A7D4-C120C972633A}"/>
    <cellStyle name="Normal 2 4 5 2 2 2 5 4" xfId="10575" xr:uid="{14FDF6B0-5950-4E85-B39E-D069C93E212F}"/>
    <cellStyle name="Normal 2 4 5 2 2 2 6" xfId="2480" xr:uid="{00000000-0005-0000-0000-000049100000}"/>
    <cellStyle name="Normal 2 4 5 2 2 2 6 2" xfId="6764" xr:uid="{00000000-0005-0000-0000-00004A100000}"/>
    <cellStyle name="Normal 2 4 5 2 2 2 6 2 2" xfId="15206" xr:uid="{0FD3DAFF-983B-4355-AE76-E060803AE8F7}"/>
    <cellStyle name="Normal 2 4 5 2 2 2 6 3" xfId="10988" xr:uid="{539DB250-23F5-4144-AD81-9F1216D46299}"/>
    <cellStyle name="Normal 2 4 5 2 2 2 7" xfId="4698" xr:uid="{00000000-0005-0000-0000-00004B100000}"/>
    <cellStyle name="Normal 2 4 5 2 2 2 7 2" xfId="13140" xr:uid="{8079BD9C-6D1E-45A6-8DA2-3612B577F21E}"/>
    <cellStyle name="Normal 2 4 5 2 2 2 8" xfId="8922" xr:uid="{98709EFD-67CA-45D6-B368-8B26DDB90E7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2 2 2" xfId="15698" xr:uid="{E1FD3135-0D94-4BA6-AAB4-72767F94DCF0}"/>
    <cellStyle name="Normal 2 4 5 2 2 3 2 3" xfId="11480" xr:uid="{41AD9C7D-EC46-4D80-8542-75C166BF3925}"/>
    <cellStyle name="Normal 2 4 5 2 2 3 3" xfId="5111" xr:uid="{00000000-0005-0000-0000-00004F100000}"/>
    <cellStyle name="Normal 2 4 5 2 2 3 3 2" xfId="13553" xr:uid="{C7DE3DB6-D16E-43F1-ADB6-32F25406727A}"/>
    <cellStyle name="Normal 2 4 5 2 2 3 4" xfId="9335" xr:uid="{709C98C4-A756-471C-ACEB-CA581245725F}"/>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2 2 2" xfId="16111" xr:uid="{5261E14E-3074-40E9-B517-476281A5029F}"/>
    <cellStyle name="Normal 2 4 5 2 2 4 2 3" xfId="11893" xr:uid="{9FF2DEFD-C30E-4BD8-8D4F-63DB751050A1}"/>
    <cellStyle name="Normal 2 4 5 2 2 4 3" xfId="5524" xr:uid="{00000000-0005-0000-0000-000053100000}"/>
    <cellStyle name="Normal 2 4 5 2 2 4 3 2" xfId="13966" xr:uid="{F150A372-BFF9-4A9A-9B53-7505027B2118}"/>
    <cellStyle name="Normal 2 4 5 2 2 4 4" xfId="9748" xr:uid="{5B4AE374-CDD0-44B8-984E-71FF378283A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2 2 2" xfId="16524" xr:uid="{8CD545E6-625C-4920-B9E5-89F6537B57F5}"/>
    <cellStyle name="Normal 2 4 5 2 2 5 2 3" xfId="12306" xr:uid="{F2DF9B81-5F47-4211-90F4-8A81BD5E5214}"/>
    <cellStyle name="Normal 2 4 5 2 2 5 3" xfId="5937" xr:uid="{00000000-0005-0000-0000-000057100000}"/>
    <cellStyle name="Normal 2 4 5 2 2 5 3 2" xfId="14379" xr:uid="{682E3152-8A10-46BB-97F2-52E54B59F0A7}"/>
    <cellStyle name="Normal 2 4 5 2 2 5 4" xfId="10161" xr:uid="{11FF47C3-3691-4FF9-BEEC-318ED6A362DC}"/>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2 2 2" xfId="16937" xr:uid="{62493616-CC9A-41D5-A2E0-EE9B1D0AE017}"/>
    <cellStyle name="Normal 2 4 5 2 2 6 2 3" xfId="12719" xr:uid="{7A264E51-4321-4BBE-8CB3-5D7B277C1F84}"/>
    <cellStyle name="Normal 2 4 5 2 2 6 3" xfId="6350" xr:uid="{00000000-0005-0000-0000-00005B100000}"/>
    <cellStyle name="Normal 2 4 5 2 2 6 3 2" xfId="14792" xr:uid="{318571F9-D755-4117-9E59-7A7338ABEDE7}"/>
    <cellStyle name="Normal 2 4 5 2 2 6 4" xfId="10574" xr:uid="{5504C0AB-307B-4A93-A6E7-F8F302C9B156}"/>
    <cellStyle name="Normal 2 4 5 2 2 7" xfId="2479" xr:uid="{00000000-0005-0000-0000-00005C100000}"/>
    <cellStyle name="Normal 2 4 5 2 2 7 2" xfId="6763" xr:uid="{00000000-0005-0000-0000-00005D100000}"/>
    <cellStyle name="Normal 2 4 5 2 2 7 2 2" xfId="15205" xr:uid="{897852C5-54DA-4C4F-8137-A930354785DE}"/>
    <cellStyle name="Normal 2 4 5 2 2 7 3" xfId="10987" xr:uid="{B77D7B59-D9D0-478D-85A2-9867774B37B0}"/>
    <cellStyle name="Normal 2 4 5 2 2 8" xfId="4697" xr:uid="{00000000-0005-0000-0000-00005E100000}"/>
    <cellStyle name="Normal 2 4 5 2 2 8 2" xfId="13139" xr:uid="{8D5471DF-CE7D-47B9-9D67-8929E1800532}"/>
    <cellStyle name="Normal 2 4 5 2 2 9" xfId="8921" xr:uid="{4FFF5470-E0D2-4BAA-B925-67CDDF4CBE75}"/>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2 2 2" xfId="15700" xr:uid="{B6EA087E-8E95-4423-8CBA-F79983A6E5D1}"/>
    <cellStyle name="Normal 2 4 5 2 3 2 2 3" xfId="11482" xr:uid="{E5E16F89-6E40-4025-AEB0-111D13696CA0}"/>
    <cellStyle name="Normal 2 4 5 2 3 2 3" xfId="5113" xr:uid="{00000000-0005-0000-0000-000063100000}"/>
    <cellStyle name="Normal 2 4 5 2 3 2 3 2" xfId="13555" xr:uid="{B3CCB740-30F4-4FCE-8F8F-C9FF1896AB57}"/>
    <cellStyle name="Normal 2 4 5 2 3 2 4" xfId="9337" xr:uid="{E80704F8-A7FB-4593-B217-25973DD3E325}"/>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2 2 2" xfId="16113" xr:uid="{BED0F06F-F382-47F1-B923-29B709BEBD21}"/>
    <cellStyle name="Normal 2 4 5 2 3 3 2 3" xfId="11895" xr:uid="{0F043E25-67AB-434C-BFF5-AEFC156E1A2C}"/>
    <cellStyle name="Normal 2 4 5 2 3 3 3" xfId="5526" xr:uid="{00000000-0005-0000-0000-000067100000}"/>
    <cellStyle name="Normal 2 4 5 2 3 3 3 2" xfId="13968" xr:uid="{69877864-9031-4917-9B63-5B9FB715BDE8}"/>
    <cellStyle name="Normal 2 4 5 2 3 3 4" xfId="9750" xr:uid="{9EB60107-BB55-4DF6-A266-A502D329D664}"/>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2 2 2" xfId="16526" xr:uid="{80B5CDD0-FE2E-488C-B0DB-F1F744B58E8C}"/>
    <cellStyle name="Normal 2 4 5 2 3 4 2 3" xfId="12308" xr:uid="{15094EA5-2A1C-4CAC-A726-019D4537C9B4}"/>
    <cellStyle name="Normal 2 4 5 2 3 4 3" xfId="5939" xr:uid="{00000000-0005-0000-0000-00006B100000}"/>
    <cellStyle name="Normal 2 4 5 2 3 4 3 2" xfId="14381" xr:uid="{8BB7D241-156C-4E0B-9371-5F62DB42AC9A}"/>
    <cellStyle name="Normal 2 4 5 2 3 4 4" xfId="10163" xr:uid="{A30F79BD-DA90-453E-8836-B56D77E4F18D}"/>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2 2 2" xfId="16939" xr:uid="{B33B50D2-DDD3-43EC-B543-922F04674C47}"/>
    <cellStyle name="Normal 2 4 5 2 3 5 2 3" xfId="12721" xr:uid="{08535484-873D-4BC2-AFFB-5353B2061EF4}"/>
    <cellStyle name="Normal 2 4 5 2 3 5 3" xfId="6352" xr:uid="{00000000-0005-0000-0000-00006F100000}"/>
    <cellStyle name="Normal 2 4 5 2 3 5 3 2" xfId="14794" xr:uid="{6BC4251C-E21B-4F09-A0CF-D9B71B0E5275}"/>
    <cellStyle name="Normal 2 4 5 2 3 5 4" xfId="10576" xr:uid="{2A315F58-A2CC-4B7B-9555-442C5428744C}"/>
    <cellStyle name="Normal 2 4 5 2 3 6" xfId="2481" xr:uid="{00000000-0005-0000-0000-000070100000}"/>
    <cellStyle name="Normal 2 4 5 2 3 6 2" xfId="6765" xr:uid="{00000000-0005-0000-0000-000071100000}"/>
    <cellStyle name="Normal 2 4 5 2 3 6 2 2" xfId="15207" xr:uid="{FF0B3F2D-0F0D-4963-A7A6-30A0BBC39E5D}"/>
    <cellStyle name="Normal 2 4 5 2 3 6 3" xfId="10989" xr:uid="{B6FBE70C-DC38-40BA-8EDC-FC4F8F82A78D}"/>
    <cellStyle name="Normal 2 4 5 2 3 7" xfId="4699" xr:uid="{00000000-0005-0000-0000-000072100000}"/>
    <cellStyle name="Normal 2 4 5 2 3 7 2" xfId="13141" xr:uid="{46264782-1FED-4653-AAE0-F336D4BF5C22}"/>
    <cellStyle name="Normal 2 4 5 2 3 8" xfId="8923" xr:uid="{B5A07DFC-9B1F-489A-A673-3F8618B4C64F}"/>
    <cellStyle name="Normal 2 4 5 2 4" xfId="793" xr:uid="{00000000-0005-0000-0000-000073100000}"/>
    <cellStyle name="Normal 2 4 5 2 4 2" xfId="3032" xr:uid="{00000000-0005-0000-0000-000074100000}"/>
    <cellStyle name="Normal 2 4 5 2 4 2 2" xfId="7255" xr:uid="{00000000-0005-0000-0000-000075100000}"/>
    <cellStyle name="Normal 2 4 5 2 4 2 2 2" xfId="15697" xr:uid="{CAD39580-2A51-4B41-BC0F-897CA515BA86}"/>
    <cellStyle name="Normal 2 4 5 2 4 2 3" xfId="11479" xr:uid="{16905E39-4A5A-4440-8001-06C84C7CC817}"/>
    <cellStyle name="Normal 2 4 5 2 4 3" xfId="5110" xr:uid="{00000000-0005-0000-0000-000076100000}"/>
    <cellStyle name="Normal 2 4 5 2 4 3 2" xfId="13552" xr:uid="{C0453B71-F0B8-4761-8AE3-103F88899133}"/>
    <cellStyle name="Normal 2 4 5 2 4 4" xfId="9334" xr:uid="{464FF3FC-23F6-4BF3-B859-63B01E439B19}"/>
    <cellStyle name="Normal 2 4 5 2 5" xfId="1215" xr:uid="{00000000-0005-0000-0000-000077100000}"/>
    <cellStyle name="Normal 2 4 5 2 5 2" xfId="3445" xr:uid="{00000000-0005-0000-0000-000078100000}"/>
    <cellStyle name="Normal 2 4 5 2 5 2 2" xfId="7668" xr:uid="{00000000-0005-0000-0000-000079100000}"/>
    <cellStyle name="Normal 2 4 5 2 5 2 2 2" xfId="16110" xr:uid="{F5D5F0AE-BDC2-448F-BDC7-086C1EA0D5CC}"/>
    <cellStyle name="Normal 2 4 5 2 5 2 3" xfId="11892" xr:uid="{7C002A31-DBF8-4439-B48F-C6430C89D654}"/>
    <cellStyle name="Normal 2 4 5 2 5 3" xfId="5523" xr:uid="{00000000-0005-0000-0000-00007A100000}"/>
    <cellStyle name="Normal 2 4 5 2 5 3 2" xfId="13965" xr:uid="{84CAF453-5164-44DD-B2A1-32015C8E0654}"/>
    <cellStyle name="Normal 2 4 5 2 5 4" xfId="9747" xr:uid="{AC513B26-CE51-4B0F-A21A-5B3A04954761}"/>
    <cellStyle name="Normal 2 4 5 2 6" xfId="1628" xr:uid="{00000000-0005-0000-0000-00007B100000}"/>
    <cellStyle name="Normal 2 4 5 2 6 2" xfId="3858" xr:uid="{00000000-0005-0000-0000-00007C100000}"/>
    <cellStyle name="Normal 2 4 5 2 6 2 2" xfId="8081" xr:uid="{00000000-0005-0000-0000-00007D100000}"/>
    <cellStyle name="Normal 2 4 5 2 6 2 2 2" xfId="16523" xr:uid="{5A2FBAC1-FA57-4161-8604-238C3D62943D}"/>
    <cellStyle name="Normal 2 4 5 2 6 2 3" xfId="12305" xr:uid="{CC7149FF-CC45-4968-AA5A-B2A17271E750}"/>
    <cellStyle name="Normal 2 4 5 2 6 3" xfId="5936" xr:uid="{00000000-0005-0000-0000-00007E100000}"/>
    <cellStyle name="Normal 2 4 5 2 6 3 2" xfId="14378" xr:uid="{8B51C686-65FB-404C-96ED-0AF229661E95}"/>
    <cellStyle name="Normal 2 4 5 2 6 4" xfId="10160" xr:uid="{701D4701-3506-4703-9924-06115C66EF66}"/>
    <cellStyle name="Normal 2 4 5 2 7" xfId="2042" xr:uid="{00000000-0005-0000-0000-00007F100000}"/>
    <cellStyle name="Normal 2 4 5 2 7 2" xfId="4271" xr:uid="{00000000-0005-0000-0000-000080100000}"/>
    <cellStyle name="Normal 2 4 5 2 7 2 2" xfId="8494" xr:uid="{00000000-0005-0000-0000-000081100000}"/>
    <cellStyle name="Normal 2 4 5 2 7 2 2 2" xfId="16936" xr:uid="{1234AAE2-B87D-4A53-A583-D9A6604E803C}"/>
    <cellStyle name="Normal 2 4 5 2 7 2 3" xfId="12718" xr:uid="{82C97890-ABFD-41FB-8152-3A64C0EB1686}"/>
    <cellStyle name="Normal 2 4 5 2 7 3" xfId="6349" xr:uid="{00000000-0005-0000-0000-000082100000}"/>
    <cellStyle name="Normal 2 4 5 2 7 3 2" xfId="14791" xr:uid="{214782C4-273F-4714-A31D-F40C3EC0E667}"/>
    <cellStyle name="Normal 2 4 5 2 7 4" xfId="10573" xr:uid="{D54E2160-1E37-4C87-B004-19A08B7B9476}"/>
    <cellStyle name="Normal 2 4 5 2 8" xfId="2478" xr:uid="{00000000-0005-0000-0000-000083100000}"/>
    <cellStyle name="Normal 2 4 5 2 8 2" xfId="6762" xr:uid="{00000000-0005-0000-0000-000084100000}"/>
    <cellStyle name="Normal 2 4 5 2 8 2 2" xfId="15204" xr:uid="{2AA80CE7-A39F-48A5-85E1-5F446C8932F8}"/>
    <cellStyle name="Normal 2 4 5 2 8 3" xfId="10986" xr:uid="{70BBD952-9BA7-4D54-A062-CDDF13AED5DD}"/>
    <cellStyle name="Normal 2 4 5 2 9" xfId="4696" xr:uid="{00000000-0005-0000-0000-000085100000}"/>
    <cellStyle name="Normal 2 4 5 2 9 2" xfId="13138" xr:uid="{478291D0-BE86-4A47-88F8-9CF636597DC7}"/>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2 2 2" xfId="15702" xr:uid="{7A0F619D-5D6D-47F1-B1D7-3E31172AC2AF}"/>
    <cellStyle name="Normal 2 4 5 3 2 2 2 3" xfId="11484" xr:uid="{57CE7AB4-B8E1-445F-910A-5FA6251EF7DA}"/>
    <cellStyle name="Normal 2 4 5 3 2 2 3" xfId="5115" xr:uid="{00000000-0005-0000-0000-00008B100000}"/>
    <cellStyle name="Normal 2 4 5 3 2 2 3 2" xfId="13557" xr:uid="{1FAF3D96-6946-4F29-A6E9-86A1C2560D26}"/>
    <cellStyle name="Normal 2 4 5 3 2 2 4" xfId="9339" xr:uid="{B477EAA9-7B8D-4AB0-82DC-289E65669346}"/>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2 2 2" xfId="16115" xr:uid="{325EC496-118B-4712-854F-B764CC598C72}"/>
    <cellStyle name="Normal 2 4 5 3 2 3 2 3" xfId="11897" xr:uid="{197F6B21-DFFE-4E96-9F9B-6914F184FA72}"/>
    <cellStyle name="Normal 2 4 5 3 2 3 3" xfId="5528" xr:uid="{00000000-0005-0000-0000-00008F100000}"/>
    <cellStyle name="Normal 2 4 5 3 2 3 3 2" xfId="13970" xr:uid="{97656D8D-65E8-451B-8CB1-DE9394A0CEEF}"/>
    <cellStyle name="Normal 2 4 5 3 2 3 4" xfId="9752" xr:uid="{BB8B0F73-D80F-491E-9CD8-4360F4CAC7E9}"/>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2 2 2" xfId="16528" xr:uid="{1AB534AA-AFA8-4B2D-804A-FB3F8D94ED88}"/>
    <cellStyle name="Normal 2 4 5 3 2 4 2 3" xfId="12310" xr:uid="{D3F418FA-F692-40D9-8AC1-8E29593FD7BC}"/>
    <cellStyle name="Normal 2 4 5 3 2 4 3" xfId="5941" xr:uid="{00000000-0005-0000-0000-000093100000}"/>
    <cellStyle name="Normal 2 4 5 3 2 4 3 2" xfId="14383" xr:uid="{3D7839FF-B547-4699-931F-4DAB15F89911}"/>
    <cellStyle name="Normal 2 4 5 3 2 4 4" xfId="10165" xr:uid="{6C217C4F-A352-40B3-8F7C-D36894C96D24}"/>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2 2 2" xfId="16941" xr:uid="{7F31C36B-6506-46F2-8093-2F4DDBCE1FA2}"/>
    <cellStyle name="Normal 2 4 5 3 2 5 2 3" xfId="12723" xr:uid="{1733C364-5D83-4EE4-A436-B435A8B387C2}"/>
    <cellStyle name="Normal 2 4 5 3 2 5 3" xfId="6354" xr:uid="{00000000-0005-0000-0000-000097100000}"/>
    <cellStyle name="Normal 2 4 5 3 2 5 3 2" xfId="14796" xr:uid="{18315A08-B68D-42CA-B399-9A5BE4EF8898}"/>
    <cellStyle name="Normal 2 4 5 3 2 5 4" xfId="10578" xr:uid="{5AD9ACDE-E34C-4D8E-9845-35EB68C7AAD7}"/>
    <cellStyle name="Normal 2 4 5 3 2 6" xfId="2483" xr:uid="{00000000-0005-0000-0000-000098100000}"/>
    <cellStyle name="Normal 2 4 5 3 2 6 2" xfId="6767" xr:uid="{00000000-0005-0000-0000-000099100000}"/>
    <cellStyle name="Normal 2 4 5 3 2 6 2 2" xfId="15209" xr:uid="{DA637245-A360-4B6F-9AAA-FB34FCA0A211}"/>
    <cellStyle name="Normal 2 4 5 3 2 6 3" xfId="10991" xr:uid="{CF91068D-0918-4A00-A225-6C38DF7E6EB4}"/>
    <cellStyle name="Normal 2 4 5 3 2 7" xfId="4701" xr:uid="{00000000-0005-0000-0000-00009A100000}"/>
    <cellStyle name="Normal 2 4 5 3 2 7 2" xfId="13143" xr:uid="{37C15275-2BFB-4C49-AF52-B3DC04A04CAD}"/>
    <cellStyle name="Normal 2 4 5 3 2 8" xfId="8925" xr:uid="{BD3B0EB9-97AC-49E6-96A8-6329618E203C}"/>
    <cellStyle name="Normal 2 4 5 3 3" xfId="797" xr:uid="{00000000-0005-0000-0000-00009B100000}"/>
    <cellStyle name="Normal 2 4 5 3 3 2" xfId="3036" xr:uid="{00000000-0005-0000-0000-00009C100000}"/>
    <cellStyle name="Normal 2 4 5 3 3 2 2" xfId="7259" xr:uid="{00000000-0005-0000-0000-00009D100000}"/>
    <cellStyle name="Normal 2 4 5 3 3 2 2 2" xfId="15701" xr:uid="{1F7C70AD-194D-4B82-99E5-12268F0036CE}"/>
    <cellStyle name="Normal 2 4 5 3 3 2 3" xfId="11483" xr:uid="{57E91F4A-028C-42F5-9B92-39EA5A806CF3}"/>
    <cellStyle name="Normal 2 4 5 3 3 3" xfId="5114" xr:uid="{00000000-0005-0000-0000-00009E100000}"/>
    <cellStyle name="Normal 2 4 5 3 3 3 2" xfId="13556" xr:uid="{39B3BD5A-A2F5-43B3-BFF4-A21E27671B8B}"/>
    <cellStyle name="Normal 2 4 5 3 3 4" xfId="9338" xr:uid="{70C545DD-0F24-4B5F-BD05-B390D7DB9D80}"/>
    <cellStyle name="Normal 2 4 5 3 4" xfId="1219" xr:uid="{00000000-0005-0000-0000-00009F100000}"/>
    <cellStyle name="Normal 2 4 5 3 4 2" xfId="3449" xr:uid="{00000000-0005-0000-0000-0000A0100000}"/>
    <cellStyle name="Normal 2 4 5 3 4 2 2" xfId="7672" xr:uid="{00000000-0005-0000-0000-0000A1100000}"/>
    <cellStyle name="Normal 2 4 5 3 4 2 2 2" xfId="16114" xr:uid="{04C43796-0F9A-42D3-8229-B11FD9E538E3}"/>
    <cellStyle name="Normal 2 4 5 3 4 2 3" xfId="11896" xr:uid="{F1808E99-888A-4D9F-AF15-EFF8B743710C}"/>
    <cellStyle name="Normal 2 4 5 3 4 3" xfId="5527" xr:uid="{00000000-0005-0000-0000-0000A2100000}"/>
    <cellStyle name="Normal 2 4 5 3 4 3 2" xfId="13969" xr:uid="{9C2DE105-3C0B-45EF-826C-AF13031BB069}"/>
    <cellStyle name="Normal 2 4 5 3 4 4" xfId="9751" xr:uid="{CBEEF6DD-F996-41EC-A001-6A85075A41D2}"/>
    <cellStyle name="Normal 2 4 5 3 5" xfId="1632" xr:uid="{00000000-0005-0000-0000-0000A3100000}"/>
    <cellStyle name="Normal 2 4 5 3 5 2" xfId="3862" xr:uid="{00000000-0005-0000-0000-0000A4100000}"/>
    <cellStyle name="Normal 2 4 5 3 5 2 2" xfId="8085" xr:uid="{00000000-0005-0000-0000-0000A5100000}"/>
    <cellStyle name="Normal 2 4 5 3 5 2 2 2" xfId="16527" xr:uid="{FC1F9C55-D620-46D7-B4A3-75F662CADD0A}"/>
    <cellStyle name="Normal 2 4 5 3 5 2 3" xfId="12309" xr:uid="{507B49F5-5FF2-4696-955A-E9FD67DDF281}"/>
    <cellStyle name="Normal 2 4 5 3 5 3" xfId="5940" xr:uid="{00000000-0005-0000-0000-0000A6100000}"/>
    <cellStyle name="Normal 2 4 5 3 5 3 2" xfId="14382" xr:uid="{14DCEC90-E0DD-4131-9130-054AB0C7855F}"/>
    <cellStyle name="Normal 2 4 5 3 5 4" xfId="10164" xr:uid="{37272EF0-80B0-43D1-87A2-B7AB87FAAEB7}"/>
    <cellStyle name="Normal 2 4 5 3 6" xfId="2046" xr:uid="{00000000-0005-0000-0000-0000A7100000}"/>
    <cellStyle name="Normal 2 4 5 3 6 2" xfId="4275" xr:uid="{00000000-0005-0000-0000-0000A8100000}"/>
    <cellStyle name="Normal 2 4 5 3 6 2 2" xfId="8498" xr:uid="{00000000-0005-0000-0000-0000A9100000}"/>
    <cellStyle name="Normal 2 4 5 3 6 2 2 2" xfId="16940" xr:uid="{0C3E01EA-0733-4272-AFCF-A71B4A8BC1EC}"/>
    <cellStyle name="Normal 2 4 5 3 6 2 3" xfId="12722" xr:uid="{0AE95E6C-1121-4E91-B3DE-B3436601C867}"/>
    <cellStyle name="Normal 2 4 5 3 6 3" xfId="6353" xr:uid="{00000000-0005-0000-0000-0000AA100000}"/>
    <cellStyle name="Normal 2 4 5 3 6 3 2" xfId="14795" xr:uid="{4CCB369E-8ECA-482E-B4E5-468DBC690E34}"/>
    <cellStyle name="Normal 2 4 5 3 6 4" xfId="10577" xr:uid="{7584B8B1-0EE7-4A67-AD0D-124596076396}"/>
    <cellStyle name="Normal 2 4 5 3 7" xfId="2482" xr:uid="{00000000-0005-0000-0000-0000AB100000}"/>
    <cellStyle name="Normal 2 4 5 3 7 2" xfId="6766" xr:uid="{00000000-0005-0000-0000-0000AC100000}"/>
    <cellStyle name="Normal 2 4 5 3 7 2 2" xfId="15208" xr:uid="{F7D3667E-4D4D-49DC-81DD-DCC1E9DB49AC}"/>
    <cellStyle name="Normal 2 4 5 3 7 3" xfId="10990" xr:uid="{EB8DE49F-F58D-4CEF-92C1-A680F14A413A}"/>
    <cellStyle name="Normal 2 4 5 3 8" xfId="4700" xr:uid="{00000000-0005-0000-0000-0000AD100000}"/>
    <cellStyle name="Normal 2 4 5 3 8 2" xfId="13142" xr:uid="{34CBCB8D-C6B1-45BD-9149-DAAF585A987E}"/>
    <cellStyle name="Normal 2 4 5 3 9" xfId="8924" xr:uid="{E733F7B9-2D78-4B06-8E85-C30F02A36604}"/>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2 2 2" xfId="15703" xr:uid="{93966BC8-730C-4C91-BED3-BCDD4083ECF0}"/>
    <cellStyle name="Normal 2 4 5 4 2 2 3" xfId="11485" xr:uid="{44FD90B5-565F-4068-856A-73CF6B98B67D}"/>
    <cellStyle name="Normal 2 4 5 4 2 3" xfId="5116" xr:uid="{00000000-0005-0000-0000-0000B2100000}"/>
    <cellStyle name="Normal 2 4 5 4 2 3 2" xfId="13558" xr:uid="{8F6B9D05-4E0C-43BF-AA2C-A061A4644427}"/>
    <cellStyle name="Normal 2 4 5 4 2 4" xfId="9340" xr:uid="{C90A7C48-8AAC-4C2E-AEEA-6A6FD7D34CEF}"/>
    <cellStyle name="Normal 2 4 5 4 3" xfId="1221" xr:uid="{00000000-0005-0000-0000-0000B3100000}"/>
    <cellStyle name="Normal 2 4 5 4 3 2" xfId="3451" xr:uid="{00000000-0005-0000-0000-0000B4100000}"/>
    <cellStyle name="Normal 2 4 5 4 3 2 2" xfId="7674" xr:uid="{00000000-0005-0000-0000-0000B5100000}"/>
    <cellStyle name="Normal 2 4 5 4 3 2 2 2" xfId="16116" xr:uid="{95684722-5193-40C9-8A5A-8516685FB5D9}"/>
    <cellStyle name="Normal 2 4 5 4 3 2 3" xfId="11898" xr:uid="{C12503E2-A6FF-47F9-829F-9DA6571FBAC2}"/>
    <cellStyle name="Normal 2 4 5 4 3 3" xfId="5529" xr:uid="{00000000-0005-0000-0000-0000B6100000}"/>
    <cellStyle name="Normal 2 4 5 4 3 3 2" xfId="13971" xr:uid="{D3D16603-5DAD-4250-A132-0F897997DBBB}"/>
    <cellStyle name="Normal 2 4 5 4 3 4" xfId="9753" xr:uid="{7049BB4A-9FFA-44C8-AB4A-7CE653DFAFA1}"/>
    <cellStyle name="Normal 2 4 5 4 4" xfId="1634" xr:uid="{00000000-0005-0000-0000-0000B7100000}"/>
    <cellStyle name="Normal 2 4 5 4 4 2" xfId="3864" xr:uid="{00000000-0005-0000-0000-0000B8100000}"/>
    <cellStyle name="Normal 2 4 5 4 4 2 2" xfId="8087" xr:uid="{00000000-0005-0000-0000-0000B9100000}"/>
    <cellStyle name="Normal 2 4 5 4 4 2 2 2" xfId="16529" xr:uid="{4A6CA5F1-17AC-443A-A75B-E5775A4B5A91}"/>
    <cellStyle name="Normal 2 4 5 4 4 2 3" xfId="12311" xr:uid="{DD237DF0-0491-4A10-8E9A-BBF599B8F33E}"/>
    <cellStyle name="Normal 2 4 5 4 4 3" xfId="5942" xr:uid="{00000000-0005-0000-0000-0000BA100000}"/>
    <cellStyle name="Normal 2 4 5 4 4 3 2" xfId="14384" xr:uid="{8315B261-7E27-4FD6-834D-425C7915EA37}"/>
    <cellStyle name="Normal 2 4 5 4 4 4" xfId="10166" xr:uid="{692EDCA8-C3FE-4282-AE8E-260FDF16674A}"/>
    <cellStyle name="Normal 2 4 5 4 5" xfId="2048" xr:uid="{00000000-0005-0000-0000-0000BB100000}"/>
    <cellStyle name="Normal 2 4 5 4 5 2" xfId="4277" xr:uid="{00000000-0005-0000-0000-0000BC100000}"/>
    <cellStyle name="Normal 2 4 5 4 5 2 2" xfId="8500" xr:uid="{00000000-0005-0000-0000-0000BD100000}"/>
    <cellStyle name="Normal 2 4 5 4 5 2 2 2" xfId="16942" xr:uid="{F50BB191-7E44-402A-A8A3-23ED9F8E82FE}"/>
    <cellStyle name="Normal 2 4 5 4 5 2 3" xfId="12724" xr:uid="{2BA66C39-E605-4077-BB81-9AEF80B29A5C}"/>
    <cellStyle name="Normal 2 4 5 4 5 3" xfId="6355" xr:uid="{00000000-0005-0000-0000-0000BE100000}"/>
    <cellStyle name="Normal 2 4 5 4 5 3 2" xfId="14797" xr:uid="{96AF6DE2-D09B-4734-ACE6-44F17511E71B}"/>
    <cellStyle name="Normal 2 4 5 4 5 4" xfId="10579" xr:uid="{1C10B6D8-085C-417C-BE49-FD37F7FFF836}"/>
    <cellStyle name="Normal 2 4 5 4 6" xfId="2484" xr:uid="{00000000-0005-0000-0000-0000BF100000}"/>
    <cellStyle name="Normal 2 4 5 4 6 2" xfId="6768" xr:uid="{00000000-0005-0000-0000-0000C0100000}"/>
    <cellStyle name="Normal 2 4 5 4 6 2 2" xfId="15210" xr:uid="{C975659F-9D77-49A5-ABEC-3D6C1C4F6B06}"/>
    <cellStyle name="Normal 2 4 5 4 6 3" xfId="10992" xr:uid="{94772146-F9E6-4AE6-A2BD-5F5885900FE3}"/>
    <cellStyle name="Normal 2 4 5 4 7" xfId="4702" xr:uid="{00000000-0005-0000-0000-0000C1100000}"/>
    <cellStyle name="Normal 2 4 5 4 7 2" xfId="13144" xr:uid="{5D0B7491-66BA-4BCA-8950-9672757A5D3C}"/>
    <cellStyle name="Normal 2 4 5 4 8" xfId="8926" xr:uid="{D4F6E078-6B15-42B2-82CE-3D069DE6BCD1}"/>
    <cellStyle name="Normal 2 4 5 5" xfId="792" xr:uid="{00000000-0005-0000-0000-0000C2100000}"/>
    <cellStyle name="Normal 2 4 5 5 2" xfId="3031" xr:uid="{00000000-0005-0000-0000-0000C3100000}"/>
    <cellStyle name="Normal 2 4 5 5 2 2" xfId="7254" xr:uid="{00000000-0005-0000-0000-0000C4100000}"/>
    <cellStyle name="Normal 2 4 5 5 2 2 2" xfId="15696" xr:uid="{0FAEB49F-65F0-4884-91EF-A6A6CFD0803C}"/>
    <cellStyle name="Normal 2 4 5 5 2 3" xfId="11478" xr:uid="{5CB75EE9-7176-4476-8D61-490438D44A66}"/>
    <cellStyle name="Normal 2 4 5 5 3" xfId="5109" xr:uid="{00000000-0005-0000-0000-0000C5100000}"/>
    <cellStyle name="Normal 2 4 5 5 3 2" xfId="13551" xr:uid="{9CB4D580-02E6-4259-B0F2-5409FD5162A6}"/>
    <cellStyle name="Normal 2 4 5 5 4" xfId="9333" xr:uid="{BB0D670F-1A99-4B7C-B364-2932948836A4}"/>
    <cellStyle name="Normal 2 4 5 6" xfId="1214" xr:uid="{00000000-0005-0000-0000-0000C6100000}"/>
    <cellStyle name="Normal 2 4 5 6 2" xfId="3444" xr:uid="{00000000-0005-0000-0000-0000C7100000}"/>
    <cellStyle name="Normal 2 4 5 6 2 2" xfId="7667" xr:uid="{00000000-0005-0000-0000-0000C8100000}"/>
    <cellStyle name="Normal 2 4 5 6 2 2 2" xfId="16109" xr:uid="{6AC3BFC8-9F91-4454-BA39-FC866D1C0387}"/>
    <cellStyle name="Normal 2 4 5 6 2 3" xfId="11891" xr:uid="{011CF940-3034-48D2-92A8-2545EC7799D8}"/>
    <cellStyle name="Normal 2 4 5 6 3" xfId="5522" xr:uid="{00000000-0005-0000-0000-0000C9100000}"/>
    <cellStyle name="Normal 2 4 5 6 3 2" xfId="13964" xr:uid="{3BD240AC-8547-4A3F-8130-340718F93CC6}"/>
    <cellStyle name="Normal 2 4 5 6 4" xfId="9746" xr:uid="{320FE9C2-E8EB-478C-B1E0-BE5D1131DBF8}"/>
    <cellStyle name="Normal 2 4 5 7" xfId="1627" xr:uid="{00000000-0005-0000-0000-0000CA100000}"/>
    <cellStyle name="Normal 2 4 5 7 2" xfId="3857" xr:uid="{00000000-0005-0000-0000-0000CB100000}"/>
    <cellStyle name="Normal 2 4 5 7 2 2" xfId="8080" xr:uid="{00000000-0005-0000-0000-0000CC100000}"/>
    <cellStyle name="Normal 2 4 5 7 2 2 2" xfId="16522" xr:uid="{534799A8-9565-4CF6-B388-A4B4D4DC9105}"/>
    <cellStyle name="Normal 2 4 5 7 2 3" xfId="12304" xr:uid="{E1FCD531-619B-4E32-AFF7-DAB48CEB8029}"/>
    <cellStyle name="Normal 2 4 5 7 3" xfId="5935" xr:uid="{00000000-0005-0000-0000-0000CD100000}"/>
    <cellStyle name="Normal 2 4 5 7 3 2" xfId="14377" xr:uid="{DDAB4477-5E5D-427F-AAF5-FDC262EF5860}"/>
    <cellStyle name="Normal 2 4 5 7 4" xfId="10159" xr:uid="{07D9C403-E53C-42F7-8C04-5DCBA57F7968}"/>
    <cellStyle name="Normal 2 4 5 8" xfId="2041" xr:uid="{00000000-0005-0000-0000-0000CE100000}"/>
    <cellStyle name="Normal 2 4 5 8 2" xfId="4270" xr:uid="{00000000-0005-0000-0000-0000CF100000}"/>
    <cellStyle name="Normal 2 4 5 8 2 2" xfId="8493" xr:uid="{00000000-0005-0000-0000-0000D0100000}"/>
    <cellStyle name="Normal 2 4 5 8 2 2 2" xfId="16935" xr:uid="{F2DC556F-390B-4116-A997-7127129B5734}"/>
    <cellStyle name="Normal 2 4 5 8 2 3" xfId="12717" xr:uid="{86F55AA3-0105-4AAC-8656-75486B50FB63}"/>
    <cellStyle name="Normal 2 4 5 8 3" xfId="6348" xr:uid="{00000000-0005-0000-0000-0000D1100000}"/>
    <cellStyle name="Normal 2 4 5 8 3 2" xfId="14790" xr:uid="{D845F4AF-1A7B-4E95-BC6C-102626929F9B}"/>
    <cellStyle name="Normal 2 4 5 8 4" xfId="10572" xr:uid="{260E2649-E77E-40C4-89CE-30F99D4F7D08}"/>
    <cellStyle name="Normal 2 4 5 9" xfId="2477" xr:uid="{00000000-0005-0000-0000-0000D2100000}"/>
    <cellStyle name="Normal 2 4 5 9 2" xfId="6761" xr:uid="{00000000-0005-0000-0000-0000D3100000}"/>
    <cellStyle name="Normal 2 4 5 9 2 2" xfId="15203" xr:uid="{4C832517-79DC-4C22-941D-0AA59C6000F5}"/>
    <cellStyle name="Normal 2 4 5 9 3" xfId="10985" xr:uid="{D432C219-EEC9-4867-8B88-C78C6D1B662B}"/>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2 2 2" xfId="15705" xr:uid="{83525159-B968-47E6-A33E-41E04C92899C}"/>
    <cellStyle name="Normal 2 4 7 2 2 2 3" xfId="11487" xr:uid="{4B6FC478-AA1E-436D-AA98-44303E1D2A2F}"/>
    <cellStyle name="Normal 2 4 7 2 2 3" xfId="5118" xr:uid="{00000000-0005-0000-0000-0000DA100000}"/>
    <cellStyle name="Normal 2 4 7 2 2 3 2" xfId="13560" xr:uid="{A4CFE3A0-BD19-41DE-886A-7E92704CBE5C}"/>
    <cellStyle name="Normal 2 4 7 2 2 4" xfId="9342" xr:uid="{61753672-9306-4643-9EFB-5200AFFEF287}"/>
    <cellStyle name="Normal 2 4 7 2 3" xfId="1223" xr:uid="{00000000-0005-0000-0000-0000DB100000}"/>
    <cellStyle name="Normal 2 4 7 2 3 2" xfId="3453" xr:uid="{00000000-0005-0000-0000-0000DC100000}"/>
    <cellStyle name="Normal 2 4 7 2 3 2 2" xfId="7676" xr:uid="{00000000-0005-0000-0000-0000DD100000}"/>
    <cellStyle name="Normal 2 4 7 2 3 2 2 2" xfId="16118" xr:uid="{1D5F6A6A-BDBC-41F9-9FF6-1F87402BC437}"/>
    <cellStyle name="Normal 2 4 7 2 3 2 3" xfId="11900" xr:uid="{B9E37B3D-8710-4C9A-96D0-5B11B91A2B76}"/>
    <cellStyle name="Normal 2 4 7 2 3 3" xfId="5531" xr:uid="{00000000-0005-0000-0000-0000DE100000}"/>
    <cellStyle name="Normal 2 4 7 2 3 3 2" xfId="13973" xr:uid="{DBFFD5F1-A453-44E8-B638-0B7AD6FDF228}"/>
    <cellStyle name="Normal 2 4 7 2 3 4" xfId="9755" xr:uid="{ABB9249B-5612-42BA-B0BB-BB41C8792E75}"/>
    <cellStyle name="Normal 2 4 7 2 4" xfId="1636" xr:uid="{00000000-0005-0000-0000-0000DF100000}"/>
    <cellStyle name="Normal 2 4 7 2 4 2" xfId="3866" xr:uid="{00000000-0005-0000-0000-0000E0100000}"/>
    <cellStyle name="Normal 2 4 7 2 4 2 2" xfId="8089" xr:uid="{00000000-0005-0000-0000-0000E1100000}"/>
    <cellStyle name="Normal 2 4 7 2 4 2 2 2" xfId="16531" xr:uid="{1DB301B4-78BE-43A2-831F-3793D6307DE5}"/>
    <cellStyle name="Normal 2 4 7 2 4 2 3" xfId="12313" xr:uid="{52E5A1D5-5886-4BDF-A1A5-E63D3EB7627E}"/>
    <cellStyle name="Normal 2 4 7 2 4 3" xfId="5944" xr:uid="{00000000-0005-0000-0000-0000E2100000}"/>
    <cellStyle name="Normal 2 4 7 2 4 3 2" xfId="14386" xr:uid="{95FB444A-E2E4-4423-98E3-31083BE99F09}"/>
    <cellStyle name="Normal 2 4 7 2 4 4" xfId="10168" xr:uid="{41C34B6A-F06B-4138-9DF0-252D9CD47F64}"/>
    <cellStyle name="Normal 2 4 7 2 5" xfId="2050" xr:uid="{00000000-0005-0000-0000-0000E3100000}"/>
    <cellStyle name="Normal 2 4 7 2 5 2" xfId="4279" xr:uid="{00000000-0005-0000-0000-0000E4100000}"/>
    <cellStyle name="Normal 2 4 7 2 5 2 2" xfId="8502" xr:uid="{00000000-0005-0000-0000-0000E5100000}"/>
    <cellStyle name="Normal 2 4 7 2 5 2 2 2" xfId="16944" xr:uid="{0598502B-C634-45C2-A0A6-05E364FC8CE9}"/>
    <cellStyle name="Normal 2 4 7 2 5 2 3" xfId="12726" xr:uid="{C1241A15-C88D-4301-B5A5-BE90987C7A2A}"/>
    <cellStyle name="Normal 2 4 7 2 5 3" xfId="6357" xr:uid="{00000000-0005-0000-0000-0000E6100000}"/>
    <cellStyle name="Normal 2 4 7 2 5 3 2" xfId="14799" xr:uid="{39C9CB1D-39B3-47BF-AABA-BCC79322B6BC}"/>
    <cellStyle name="Normal 2 4 7 2 5 4" xfId="10581" xr:uid="{021EBFC5-24DA-4B19-8513-FFE415A86390}"/>
    <cellStyle name="Normal 2 4 7 2 6" xfId="2486" xr:uid="{00000000-0005-0000-0000-0000E7100000}"/>
    <cellStyle name="Normal 2 4 7 2 6 2" xfId="6770" xr:uid="{00000000-0005-0000-0000-0000E8100000}"/>
    <cellStyle name="Normal 2 4 7 2 6 2 2" xfId="15212" xr:uid="{775D6206-98F7-4C1F-964F-9F0B042FD455}"/>
    <cellStyle name="Normal 2 4 7 2 6 3" xfId="10994" xr:uid="{8F3C610E-DDA9-4825-8F54-6E314D0B83A8}"/>
    <cellStyle name="Normal 2 4 7 2 7" xfId="4704" xr:uid="{00000000-0005-0000-0000-0000E9100000}"/>
    <cellStyle name="Normal 2 4 7 2 7 2" xfId="13146" xr:uid="{F9ECA068-C97A-4956-BF40-CF8B3F6C182F}"/>
    <cellStyle name="Normal 2 4 7 2 8" xfId="8928" xr:uid="{59EE710F-EFD8-4FD7-BEB7-1026F4BEFAB0}"/>
    <cellStyle name="Normal 2 4 7 3" xfId="800" xr:uid="{00000000-0005-0000-0000-0000EA100000}"/>
    <cellStyle name="Normal 2 4 7 3 2" xfId="3039" xr:uid="{00000000-0005-0000-0000-0000EB100000}"/>
    <cellStyle name="Normal 2 4 7 3 2 2" xfId="7262" xr:uid="{00000000-0005-0000-0000-0000EC100000}"/>
    <cellStyle name="Normal 2 4 7 3 2 2 2" xfId="15704" xr:uid="{EC75A27A-ABD6-4FFD-9ACF-55BEBBF48BFE}"/>
    <cellStyle name="Normal 2 4 7 3 2 3" xfId="11486" xr:uid="{A41DD071-85C4-4E5D-8603-09F118ED2B9E}"/>
    <cellStyle name="Normal 2 4 7 3 3" xfId="5117" xr:uid="{00000000-0005-0000-0000-0000ED100000}"/>
    <cellStyle name="Normal 2 4 7 3 3 2" xfId="13559" xr:uid="{0E37E8FA-DACC-4DE8-A1F6-F1BE6820EB29}"/>
    <cellStyle name="Normal 2 4 7 3 4" xfId="9341" xr:uid="{72FD7E7E-A03E-4A51-829D-62F056476985}"/>
    <cellStyle name="Normal 2 4 7 4" xfId="1222" xr:uid="{00000000-0005-0000-0000-0000EE100000}"/>
    <cellStyle name="Normal 2 4 7 4 2" xfId="3452" xr:uid="{00000000-0005-0000-0000-0000EF100000}"/>
    <cellStyle name="Normal 2 4 7 4 2 2" xfId="7675" xr:uid="{00000000-0005-0000-0000-0000F0100000}"/>
    <cellStyle name="Normal 2 4 7 4 2 2 2" xfId="16117" xr:uid="{75924731-BD2D-459F-8E1A-541243EE99D2}"/>
    <cellStyle name="Normal 2 4 7 4 2 3" xfId="11899" xr:uid="{9D4C8021-FB63-4173-AF8A-3D474AB23FFB}"/>
    <cellStyle name="Normal 2 4 7 4 3" xfId="5530" xr:uid="{00000000-0005-0000-0000-0000F1100000}"/>
    <cellStyle name="Normal 2 4 7 4 3 2" xfId="13972" xr:uid="{EC8874BC-7705-4A91-9C75-E0C0B2BD331C}"/>
    <cellStyle name="Normal 2 4 7 4 4" xfId="9754" xr:uid="{25A0C098-52A5-4FC8-BDCE-7577CB0F7D08}"/>
    <cellStyle name="Normal 2 4 7 5" xfId="1635" xr:uid="{00000000-0005-0000-0000-0000F2100000}"/>
    <cellStyle name="Normal 2 4 7 5 2" xfId="3865" xr:uid="{00000000-0005-0000-0000-0000F3100000}"/>
    <cellStyle name="Normal 2 4 7 5 2 2" xfId="8088" xr:uid="{00000000-0005-0000-0000-0000F4100000}"/>
    <cellStyle name="Normal 2 4 7 5 2 2 2" xfId="16530" xr:uid="{32080E62-2899-47B2-B6C6-1490726E21D2}"/>
    <cellStyle name="Normal 2 4 7 5 2 3" xfId="12312" xr:uid="{780EE5F3-5255-4F2D-A21C-CD040B3E444E}"/>
    <cellStyle name="Normal 2 4 7 5 3" xfId="5943" xr:uid="{00000000-0005-0000-0000-0000F5100000}"/>
    <cellStyle name="Normal 2 4 7 5 3 2" xfId="14385" xr:uid="{E899DB14-D561-4F67-B7E4-C7411A4A5C8C}"/>
    <cellStyle name="Normal 2 4 7 5 4" xfId="10167" xr:uid="{F2215B8B-F1DD-43CA-9468-8AE6D8E839A4}"/>
    <cellStyle name="Normal 2 4 7 6" xfId="2049" xr:uid="{00000000-0005-0000-0000-0000F6100000}"/>
    <cellStyle name="Normal 2 4 7 6 2" xfId="4278" xr:uid="{00000000-0005-0000-0000-0000F7100000}"/>
    <cellStyle name="Normal 2 4 7 6 2 2" xfId="8501" xr:uid="{00000000-0005-0000-0000-0000F8100000}"/>
    <cellStyle name="Normal 2 4 7 6 2 2 2" xfId="16943" xr:uid="{A9543EBF-A0CA-49D4-AE1C-DE0F1DBDAFA8}"/>
    <cellStyle name="Normal 2 4 7 6 2 3" xfId="12725" xr:uid="{63E9D1D5-ED9B-451F-B2F3-F91AD61338C8}"/>
    <cellStyle name="Normal 2 4 7 6 3" xfId="6356" xr:uid="{00000000-0005-0000-0000-0000F9100000}"/>
    <cellStyle name="Normal 2 4 7 6 3 2" xfId="14798" xr:uid="{47718F32-1E62-4385-BB3A-0E32B9F896C3}"/>
    <cellStyle name="Normal 2 4 7 6 4" xfId="10580" xr:uid="{AEE9FE73-713E-43A4-9BCB-93783F61E06D}"/>
    <cellStyle name="Normal 2 4 7 7" xfId="2485" xr:uid="{00000000-0005-0000-0000-0000FA100000}"/>
    <cellStyle name="Normal 2 4 7 7 2" xfId="6769" xr:uid="{00000000-0005-0000-0000-0000FB100000}"/>
    <cellStyle name="Normal 2 4 7 7 2 2" xfId="15211" xr:uid="{16ED7D8C-497A-4335-9241-DBCCE9550EF5}"/>
    <cellStyle name="Normal 2 4 7 7 3" xfId="10993" xr:uid="{F1EA35EB-1E36-49B4-8F53-6EAC6CA676B6}"/>
    <cellStyle name="Normal 2 4 7 8" xfId="4703" xr:uid="{00000000-0005-0000-0000-0000FC100000}"/>
    <cellStyle name="Normal 2 4 7 8 2" xfId="13145" xr:uid="{09DD1BBF-76D7-4DFB-B690-E51B048A555B}"/>
    <cellStyle name="Normal 2 4 7 9" xfId="8927" xr:uid="{AF0F5852-A3CF-488B-90A8-D663FD260119}"/>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2 2 2" xfId="15706" xr:uid="{637A405D-7516-47FE-A157-2CC1515E959F}"/>
    <cellStyle name="Normal 2 4 8 2 2 3" xfId="11488" xr:uid="{8C7C85EF-5109-4897-8A79-F7C2F5CAB316}"/>
    <cellStyle name="Normal 2 4 8 2 3" xfId="5119" xr:uid="{00000000-0005-0000-0000-000001110000}"/>
    <cellStyle name="Normal 2 4 8 2 3 2" xfId="13561" xr:uid="{07C1AA01-E799-4107-97AE-995310841458}"/>
    <cellStyle name="Normal 2 4 8 2 4" xfId="9343" xr:uid="{4D985CB1-89EB-4121-A0E1-1F48E6B6D82E}"/>
    <cellStyle name="Normal 2 4 8 3" xfId="1224" xr:uid="{00000000-0005-0000-0000-000002110000}"/>
    <cellStyle name="Normal 2 4 8 3 2" xfId="3454" xr:uid="{00000000-0005-0000-0000-000003110000}"/>
    <cellStyle name="Normal 2 4 8 3 2 2" xfId="7677" xr:uid="{00000000-0005-0000-0000-000004110000}"/>
    <cellStyle name="Normal 2 4 8 3 2 2 2" xfId="16119" xr:uid="{F55C1FC8-E09A-4D0F-B667-BC5FFD14C570}"/>
    <cellStyle name="Normal 2 4 8 3 2 3" xfId="11901" xr:uid="{0DA5CE0E-CC80-4D59-8098-97D5D9D6BF8C}"/>
    <cellStyle name="Normal 2 4 8 3 3" xfId="5532" xr:uid="{00000000-0005-0000-0000-000005110000}"/>
    <cellStyle name="Normal 2 4 8 3 3 2" xfId="13974" xr:uid="{4540BA8A-6A58-45AA-B0CA-58407995EBF2}"/>
    <cellStyle name="Normal 2 4 8 3 4" xfId="9756" xr:uid="{120FBE61-EC0C-41D4-9167-D0FF6C279E8C}"/>
    <cellStyle name="Normal 2 4 8 4" xfId="1637" xr:uid="{00000000-0005-0000-0000-000006110000}"/>
    <cellStyle name="Normal 2 4 8 4 2" xfId="3867" xr:uid="{00000000-0005-0000-0000-000007110000}"/>
    <cellStyle name="Normal 2 4 8 4 2 2" xfId="8090" xr:uid="{00000000-0005-0000-0000-000008110000}"/>
    <cellStyle name="Normal 2 4 8 4 2 2 2" xfId="16532" xr:uid="{C41E78AB-23A1-44AB-B599-E7051BCDFBDE}"/>
    <cellStyle name="Normal 2 4 8 4 2 3" xfId="12314" xr:uid="{E052FBE2-08FC-43C5-89D3-BDC67B4ABE0C}"/>
    <cellStyle name="Normal 2 4 8 4 3" xfId="5945" xr:uid="{00000000-0005-0000-0000-000009110000}"/>
    <cellStyle name="Normal 2 4 8 4 3 2" xfId="14387" xr:uid="{F2C9DAB8-8B5F-4C48-A7CB-8C6B0A2AF419}"/>
    <cellStyle name="Normal 2 4 8 4 4" xfId="10169" xr:uid="{9D01854F-E94F-405C-85E5-B9F8020D0613}"/>
    <cellStyle name="Normal 2 4 8 5" xfId="2051" xr:uid="{00000000-0005-0000-0000-00000A110000}"/>
    <cellStyle name="Normal 2 4 8 5 2" xfId="4280" xr:uid="{00000000-0005-0000-0000-00000B110000}"/>
    <cellStyle name="Normal 2 4 8 5 2 2" xfId="8503" xr:uid="{00000000-0005-0000-0000-00000C110000}"/>
    <cellStyle name="Normal 2 4 8 5 2 2 2" xfId="16945" xr:uid="{AF8B9C4D-4637-4D3C-9114-4B2FAA44482B}"/>
    <cellStyle name="Normal 2 4 8 5 2 3" xfId="12727" xr:uid="{0A99985F-3CF6-4625-A381-6E644D843CD5}"/>
    <cellStyle name="Normal 2 4 8 5 3" xfId="6358" xr:uid="{00000000-0005-0000-0000-00000D110000}"/>
    <cellStyle name="Normal 2 4 8 5 3 2" xfId="14800" xr:uid="{6D417BD6-07DE-45D6-B8C7-EBF5AEFDBFA7}"/>
    <cellStyle name="Normal 2 4 8 5 4" xfId="10582" xr:uid="{ACC4626F-B559-44ED-A616-CB2280F28DDC}"/>
    <cellStyle name="Normal 2 4 8 6" xfId="2487" xr:uid="{00000000-0005-0000-0000-00000E110000}"/>
    <cellStyle name="Normal 2 4 8 6 2" xfId="6771" xr:uid="{00000000-0005-0000-0000-00000F110000}"/>
    <cellStyle name="Normal 2 4 8 6 2 2" xfId="15213" xr:uid="{01A5E629-6157-438F-A343-DBEB4BD1C2BD}"/>
    <cellStyle name="Normal 2 4 8 6 3" xfId="10995" xr:uid="{29690441-8A4B-4BD9-A098-6C4797764B45}"/>
    <cellStyle name="Normal 2 4 8 7" xfId="4705" xr:uid="{00000000-0005-0000-0000-000010110000}"/>
    <cellStyle name="Normal 2 4 8 7 2" xfId="13147" xr:uid="{CE3F685F-8B01-4374-A3B5-8559E95F6D80}"/>
    <cellStyle name="Normal 2 4 8 8" xfId="8929" xr:uid="{7251268D-9022-4848-B42F-82B5D1D8C3BC}"/>
    <cellStyle name="Normal 2 5" xfId="315" xr:uid="{00000000-0005-0000-0000-000011110000}"/>
    <cellStyle name="Normal 2 5 10" xfId="4706" xr:uid="{00000000-0005-0000-0000-000012110000}"/>
    <cellStyle name="Normal 2 5 10 2" xfId="13148" xr:uid="{60D05DDA-5756-4D27-9A23-C8E4F89CE70E}"/>
    <cellStyle name="Normal 2 5 11" xfId="8930" xr:uid="{5C515C7B-5691-48F3-A068-16AE1B2395DB}"/>
    <cellStyle name="Normal 2 5 2" xfId="316" xr:uid="{00000000-0005-0000-0000-000013110000}"/>
    <cellStyle name="Normal 2 5 3" xfId="317" xr:uid="{00000000-0005-0000-0000-000014110000}"/>
    <cellStyle name="Normal 2 5 4" xfId="318" xr:uid="{00000000-0005-0000-0000-000015110000}"/>
    <cellStyle name="Normal 2 5 4 10" xfId="8931" xr:uid="{75435118-F161-4505-85B0-7C13D4416842}"/>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2 2 2" xfId="15710" xr:uid="{3EF682F3-6DA3-4B12-8C8E-7D860457259C}"/>
    <cellStyle name="Normal 2 5 4 2 2 2 2 3" xfId="11492" xr:uid="{B49D2DA6-3569-42EC-9505-70A6E7B09000}"/>
    <cellStyle name="Normal 2 5 4 2 2 2 3" xfId="5123" xr:uid="{00000000-0005-0000-0000-00001B110000}"/>
    <cellStyle name="Normal 2 5 4 2 2 2 3 2" xfId="13565" xr:uid="{FBD35284-A61E-428E-B63D-98D32CFA81D3}"/>
    <cellStyle name="Normal 2 5 4 2 2 2 4" xfId="9347" xr:uid="{FE36951E-D597-41B3-BB3F-4BB3FBFBAAD1}"/>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2 2 2" xfId="16123" xr:uid="{79FFA797-0E75-44B5-9DCA-C36AF07385A4}"/>
    <cellStyle name="Normal 2 5 4 2 2 3 2 3" xfId="11905" xr:uid="{C72FFED1-24A1-4FCB-B7F5-CE25C7A5D7B2}"/>
    <cellStyle name="Normal 2 5 4 2 2 3 3" xfId="5536" xr:uid="{00000000-0005-0000-0000-00001F110000}"/>
    <cellStyle name="Normal 2 5 4 2 2 3 3 2" xfId="13978" xr:uid="{AFD101C1-2066-4E9A-AC76-767EE47035AF}"/>
    <cellStyle name="Normal 2 5 4 2 2 3 4" xfId="9760" xr:uid="{A89C2945-BF20-422C-80FE-14FF58F822CE}"/>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2 2 2" xfId="16536" xr:uid="{12D5D876-34AE-4D47-A502-6E1AEF14A70B}"/>
    <cellStyle name="Normal 2 5 4 2 2 4 2 3" xfId="12318" xr:uid="{00FD8694-3BD4-45B7-9F1B-56084F353458}"/>
    <cellStyle name="Normal 2 5 4 2 2 4 3" xfId="5949" xr:uid="{00000000-0005-0000-0000-000023110000}"/>
    <cellStyle name="Normal 2 5 4 2 2 4 3 2" xfId="14391" xr:uid="{923484BD-5BF8-4881-B17C-147078FB36B1}"/>
    <cellStyle name="Normal 2 5 4 2 2 4 4" xfId="10173" xr:uid="{BAD8E57B-54D5-473D-9190-A25A982B806B}"/>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2 2 2" xfId="16949" xr:uid="{0974B780-318F-49B0-A21B-28C768E10E12}"/>
    <cellStyle name="Normal 2 5 4 2 2 5 2 3" xfId="12731" xr:uid="{19FD4E90-5BDB-4911-A8EC-8D1E61F637C2}"/>
    <cellStyle name="Normal 2 5 4 2 2 5 3" xfId="6362" xr:uid="{00000000-0005-0000-0000-000027110000}"/>
    <cellStyle name="Normal 2 5 4 2 2 5 3 2" xfId="14804" xr:uid="{DB23F93D-B635-4164-878F-C357E4E4733A}"/>
    <cellStyle name="Normal 2 5 4 2 2 5 4" xfId="10586" xr:uid="{1C8680FF-DA74-4292-BFE6-CFEB35CFBDD5}"/>
    <cellStyle name="Normal 2 5 4 2 2 6" xfId="2491" xr:uid="{00000000-0005-0000-0000-000028110000}"/>
    <cellStyle name="Normal 2 5 4 2 2 6 2" xfId="6775" xr:uid="{00000000-0005-0000-0000-000029110000}"/>
    <cellStyle name="Normal 2 5 4 2 2 6 2 2" xfId="15217" xr:uid="{774EB685-A9E7-40CA-9021-CF14E0D1040F}"/>
    <cellStyle name="Normal 2 5 4 2 2 6 3" xfId="10999" xr:uid="{6693A308-F44E-49D8-80C4-4479B31789EA}"/>
    <cellStyle name="Normal 2 5 4 2 2 7" xfId="4709" xr:uid="{00000000-0005-0000-0000-00002A110000}"/>
    <cellStyle name="Normal 2 5 4 2 2 7 2" xfId="13151" xr:uid="{2654274C-B408-49EE-B635-6056B3D792A6}"/>
    <cellStyle name="Normal 2 5 4 2 2 8" xfId="8933" xr:uid="{A9529991-688B-4AAD-B2FD-D887895C7598}"/>
    <cellStyle name="Normal 2 5 4 2 3" xfId="805" xr:uid="{00000000-0005-0000-0000-00002B110000}"/>
    <cellStyle name="Normal 2 5 4 2 3 2" xfId="3044" xr:uid="{00000000-0005-0000-0000-00002C110000}"/>
    <cellStyle name="Normal 2 5 4 2 3 2 2" xfId="7267" xr:uid="{00000000-0005-0000-0000-00002D110000}"/>
    <cellStyle name="Normal 2 5 4 2 3 2 2 2" xfId="15709" xr:uid="{0D5367DF-578D-42AA-B387-7FCCC0DBA5BA}"/>
    <cellStyle name="Normal 2 5 4 2 3 2 3" xfId="11491" xr:uid="{AB4F214C-F251-4B0A-824D-730BC9929BCB}"/>
    <cellStyle name="Normal 2 5 4 2 3 3" xfId="5122" xr:uid="{00000000-0005-0000-0000-00002E110000}"/>
    <cellStyle name="Normal 2 5 4 2 3 3 2" xfId="13564" xr:uid="{F53CF3A8-039A-4A46-BD2E-74B5529CFB3F}"/>
    <cellStyle name="Normal 2 5 4 2 3 4" xfId="9346" xr:uid="{52A3CEC3-A06F-49CC-9B4F-5266D91D79D8}"/>
    <cellStyle name="Normal 2 5 4 2 4" xfId="1227" xr:uid="{00000000-0005-0000-0000-00002F110000}"/>
    <cellStyle name="Normal 2 5 4 2 4 2" xfId="3457" xr:uid="{00000000-0005-0000-0000-000030110000}"/>
    <cellStyle name="Normal 2 5 4 2 4 2 2" xfId="7680" xr:uid="{00000000-0005-0000-0000-000031110000}"/>
    <cellStyle name="Normal 2 5 4 2 4 2 2 2" xfId="16122" xr:uid="{06ADE572-EF99-4BD7-96FC-DD89F0034755}"/>
    <cellStyle name="Normal 2 5 4 2 4 2 3" xfId="11904" xr:uid="{D2D85FAF-D939-46ED-A2E0-37F3E42E1FFE}"/>
    <cellStyle name="Normal 2 5 4 2 4 3" xfId="5535" xr:uid="{00000000-0005-0000-0000-000032110000}"/>
    <cellStyle name="Normal 2 5 4 2 4 3 2" xfId="13977" xr:uid="{B43F8AB0-C677-4985-B208-71DBC71F11E9}"/>
    <cellStyle name="Normal 2 5 4 2 4 4" xfId="9759" xr:uid="{5E77CC91-EC9D-4647-9305-7BBF9681F9E0}"/>
    <cellStyle name="Normal 2 5 4 2 5" xfId="1640" xr:uid="{00000000-0005-0000-0000-000033110000}"/>
    <cellStyle name="Normal 2 5 4 2 5 2" xfId="3870" xr:uid="{00000000-0005-0000-0000-000034110000}"/>
    <cellStyle name="Normal 2 5 4 2 5 2 2" xfId="8093" xr:uid="{00000000-0005-0000-0000-000035110000}"/>
    <cellStyle name="Normal 2 5 4 2 5 2 2 2" xfId="16535" xr:uid="{D78B91DE-2E5C-4050-8519-3061E4638245}"/>
    <cellStyle name="Normal 2 5 4 2 5 2 3" xfId="12317" xr:uid="{CEB3CF5A-C3E7-41A0-AD00-C17B1A3234BB}"/>
    <cellStyle name="Normal 2 5 4 2 5 3" xfId="5948" xr:uid="{00000000-0005-0000-0000-000036110000}"/>
    <cellStyle name="Normal 2 5 4 2 5 3 2" xfId="14390" xr:uid="{89C83700-E4ED-4E22-A2FE-0749624FDD9E}"/>
    <cellStyle name="Normal 2 5 4 2 5 4" xfId="10172" xr:uid="{D7BF11C3-F60C-41E4-B85E-61D89B369714}"/>
    <cellStyle name="Normal 2 5 4 2 6" xfId="2054" xr:uid="{00000000-0005-0000-0000-000037110000}"/>
    <cellStyle name="Normal 2 5 4 2 6 2" xfId="4283" xr:uid="{00000000-0005-0000-0000-000038110000}"/>
    <cellStyle name="Normal 2 5 4 2 6 2 2" xfId="8506" xr:uid="{00000000-0005-0000-0000-000039110000}"/>
    <cellStyle name="Normal 2 5 4 2 6 2 2 2" xfId="16948" xr:uid="{6E16F470-4F21-4E2F-A440-30B6DD5DACA3}"/>
    <cellStyle name="Normal 2 5 4 2 6 2 3" xfId="12730" xr:uid="{880ED0CA-2B40-4978-9372-485A32B56310}"/>
    <cellStyle name="Normal 2 5 4 2 6 3" xfId="6361" xr:uid="{00000000-0005-0000-0000-00003A110000}"/>
    <cellStyle name="Normal 2 5 4 2 6 3 2" xfId="14803" xr:uid="{0252EE8C-6B20-4324-9194-37F069DFA5FD}"/>
    <cellStyle name="Normal 2 5 4 2 6 4" xfId="10585" xr:uid="{1E8F6E0E-D45C-4396-AFE0-0E4DA97399B3}"/>
    <cellStyle name="Normal 2 5 4 2 7" xfId="2490" xr:uid="{00000000-0005-0000-0000-00003B110000}"/>
    <cellStyle name="Normal 2 5 4 2 7 2" xfId="6774" xr:uid="{00000000-0005-0000-0000-00003C110000}"/>
    <cellStyle name="Normal 2 5 4 2 7 2 2" xfId="15216" xr:uid="{4B5C5565-A5A0-4C83-A351-6F9703448B53}"/>
    <cellStyle name="Normal 2 5 4 2 7 3" xfId="10998" xr:uid="{1DFC85A9-8DB8-4A2D-BCED-96E08BBDB3FF}"/>
    <cellStyle name="Normal 2 5 4 2 8" xfId="4708" xr:uid="{00000000-0005-0000-0000-00003D110000}"/>
    <cellStyle name="Normal 2 5 4 2 8 2" xfId="13150" xr:uid="{029DE55D-BE1C-4ACA-A1B7-108A291F7EC7}"/>
    <cellStyle name="Normal 2 5 4 2 9" xfId="8932" xr:uid="{22AC288A-F598-4123-9E75-7504FF47EBA1}"/>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2 2 2" xfId="15711" xr:uid="{B9D743B8-6500-4673-B49C-6AFA3D38B414}"/>
    <cellStyle name="Normal 2 5 4 3 2 2 3" xfId="11493" xr:uid="{A1948F01-67DB-4C0A-97A6-CC97AE739024}"/>
    <cellStyle name="Normal 2 5 4 3 2 3" xfId="5124" xr:uid="{00000000-0005-0000-0000-000042110000}"/>
    <cellStyle name="Normal 2 5 4 3 2 3 2" xfId="13566" xr:uid="{A9E2F4C8-BF45-4F00-9157-1C6872637B8D}"/>
    <cellStyle name="Normal 2 5 4 3 2 4" xfId="9348" xr:uid="{3BC307DF-7D2F-4CA4-81B9-C2E2C8EF2519}"/>
    <cellStyle name="Normal 2 5 4 3 3" xfId="1229" xr:uid="{00000000-0005-0000-0000-000043110000}"/>
    <cellStyle name="Normal 2 5 4 3 3 2" xfId="3459" xr:uid="{00000000-0005-0000-0000-000044110000}"/>
    <cellStyle name="Normal 2 5 4 3 3 2 2" xfId="7682" xr:uid="{00000000-0005-0000-0000-000045110000}"/>
    <cellStyle name="Normal 2 5 4 3 3 2 2 2" xfId="16124" xr:uid="{CFFCB355-A9C6-4A31-AB43-DDD8AE8B710C}"/>
    <cellStyle name="Normal 2 5 4 3 3 2 3" xfId="11906" xr:uid="{8727D891-DD5A-4C50-9A32-F8D93D00BE5B}"/>
    <cellStyle name="Normal 2 5 4 3 3 3" xfId="5537" xr:uid="{00000000-0005-0000-0000-000046110000}"/>
    <cellStyle name="Normal 2 5 4 3 3 3 2" xfId="13979" xr:uid="{3E22119A-DE2D-45A2-99CE-4CC17E86B4ED}"/>
    <cellStyle name="Normal 2 5 4 3 3 4" xfId="9761" xr:uid="{09E56FB0-435F-4A75-9BFE-B670C6504581}"/>
    <cellStyle name="Normal 2 5 4 3 4" xfId="1642" xr:uid="{00000000-0005-0000-0000-000047110000}"/>
    <cellStyle name="Normal 2 5 4 3 4 2" xfId="3872" xr:uid="{00000000-0005-0000-0000-000048110000}"/>
    <cellStyle name="Normal 2 5 4 3 4 2 2" xfId="8095" xr:uid="{00000000-0005-0000-0000-000049110000}"/>
    <cellStyle name="Normal 2 5 4 3 4 2 2 2" xfId="16537" xr:uid="{F5737005-8FD3-4E10-9957-C5D1DF6BBA7F}"/>
    <cellStyle name="Normal 2 5 4 3 4 2 3" xfId="12319" xr:uid="{F0CCEA2B-8F62-4BAB-BC0F-741DA42E333F}"/>
    <cellStyle name="Normal 2 5 4 3 4 3" xfId="5950" xr:uid="{00000000-0005-0000-0000-00004A110000}"/>
    <cellStyle name="Normal 2 5 4 3 4 3 2" xfId="14392" xr:uid="{DEE9CBF8-0299-400A-834C-555D02E951B7}"/>
    <cellStyle name="Normal 2 5 4 3 4 4" xfId="10174" xr:uid="{3415F66E-E68C-4C96-AE61-CF75B336D8A0}"/>
    <cellStyle name="Normal 2 5 4 3 5" xfId="2056" xr:uid="{00000000-0005-0000-0000-00004B110000}"/>
    <cellStyle name="Normal 2 5 4 3 5 2" xfId="4285" xr:uid="{00000000-0005-0000-0000-00004C110000}"/>
    <cellStyle name="Normal 2 5 4 3 5 2 2" xfId="8508" xr:uid="{00000000-0005-0000-0000-00004D110000}"/>
    <cellStyle name="Normal 2 5 4 3 5 2 2 2" xfId="16950" xr:uid="{6903F041-B247-44A6-9A90-297A1CBB2D01}"/>
    <cellStyle name="Normal 2 5 4 3 5 2 3" xfId="12732" xr:uid="{CD6D58E4-C745-4941-A3E8-0079B9C37F27}"/>
    <cellStyle name="Normal 2 5 4 3 5 3" xfId="6363" xr:uid="{00000000-0005-0000-0000-00004E110000}"/>
    <cellStyle name="Normal 2 5 4 3 5 3 2" xfId="14805" xr:uid="{172361D1-8F01-40BC-9E74-7264189B0E73}"/>
    <cellStyle name="Normal 2 5 4 3 5 4" xfId="10587" xr:uid="{47262719-0D2F-4759-9B8C-082BB98BD746}"/>
    <cellStyle name="Normal 2 5 4 3 6" xfId="2492" xr:uid="{00000000-0005-0000-0000-00004F110000}"/>
    <cellStyle name="Normal 2 5 4 3 6 2" xfId="6776" xr:uid="{00000000-0005-0000-0000-000050110000}"/>
    <cellStyle name="Normal 2 5 4 3 6 2 2" xfId="15218" xr:uid="{7BFC6E30-14FE-4BEF-A0A7-CEA9AE62B8DB}"/>
    <cellStyle name="Normal 2 5 4 3 6 3" xfId="11000" xr:uid="{2F6D52AE-84DE-435E-ADEC-DF0B3A062963}"/>
    <cellStyle name="Normal 2 5 4 3 7" xfId="4710" xr:uid="{00000000-0005-0000-0000-000051110000}"/>
    <cellStyle name="Normal 2 5 4 3 7 2" xfId="13152" xr:uid="{3B9B4920-C73F-4A0C-88ED-FFD395C151AA}"/>
    <cellStyle name="Normal 2 5 4 3 8" xfId="8934" xr:uid="{382DB57B-D6FE-4742-9E7A-59C667E0C92E}"/>
    <cellStyle name="Normal 2 5 4 4" xfId="804" xr:uid="{00000000-0005-0000-0000-000052110000}"/>
    <cellStyle name="Normal 2 5 4 4 2" xfId="3043" xr:uid="{00000000-0005-0000-0000-000053110000}"/>
    <cellStyle name="Normal 2 5 4 4 2 2" xfId="7266" xr:uid="{00000000-0005-0000-0000-000054110000}"/>
    <cellStyle name="Normal 2 5 4 4 2 2 2" xfId="15708" xr:uid="{87929EC2-6C37-4AB4-AFA9-4AFEE004C731}"/>
    <cellStyle name="Normal 2 5 4 4 2 3" xfId="11490" xr:uid="{94244D33-7E9F-4B01-94A2-68B118A9FFC1}"/>
    <cellStyle name="Normal 2 5 4 4 3" xfId="5121" xr:uid="{00000000-0005-0000-0000-000055110000}"/>
    <cellStyle name="Normal 2 5 4 4 3 2" xfId="13563" xr:uid="{F23AB3F7-1D8E-4345-BF82-80FA44435691}"/>
    <cellStyle name="Normal 2 5 4 4 4" xfId="9345" xr:uid="{5389C4EA-044E-44BB-8EF6-5696AE03C2E5}"/>
    <cellStyle name="Normal 2 5 4 5" xfId="1226" xr:uid="{00000000-0005-0000-0000-000056110000}"/>
    <cellStyle name="Normal 2 5 4 5 2" xfId="3456" xr:uid="{00000000-0005-0000-0000-000057110000}"/>
    <cellStyle name="Normal 2 5 4 5 2 2" xfId="7679" xr:uid="{00000000-0005-0000-0000-000058110000}"/>
    <cellStyle name="Normal 2 5 4 5 2 2 2" xfId="16121" xr:uid="{1427B23D-B06C-431B-AF84-119DE4E09C70}"/>
    <cellStyle name="Normal 2 5 4 5 2 3" xfId="11903" xr:uid="{A84F0010-E0E7-474D-ACFE-F4C485A11263}"/>
    <cellStyle name="Normal 2 5 4 5 3" xfId="5534" xr:uid="{00000000-0005-0000-0000-000059110000}"/>
    <cellStyle name="Normal 2 5 4 5 3 2" xfId="13976" xr:uid="{40BF59A3-7C96-4215-9547-37B1032A67DC}"/>
    <cellStyle name="Normal 2 5 4 5 4" xfId="9758" xr:uid="{A34A41AE-0AA3-46D9-B3E0-0119C539F70B}"/>
    <cellStyle name="Normal 2 5 4 6" xfId="1639" xr:uid="{00000000-0005-0000-0000-00005A110000}"/>
    <cellStyle name="Normal 2 5 4 6 2" xfId="3869" xr:uid="{00000000-0005-0000-0000-00005B110000}"/>
    <cellStyle name="Normal 2 5 4 6 2 2" xfId="8092" xr:uid="{00000000-0005-0000-0000-00005C110000}"/>
    <cellStyle name="Normal 2 5 4 6 2 2 2" xfId="16534" xr:uid="{60A30BB2-5A6A-4BE1-A44B-71684750B15C}"/>
    <cellStyle name="Normal 2 5 4 6 2 3" xfId="12316" xr:uid="{B76709E5-4B58-4711-A1DC-6BDF0152BE75}"/>
    <cellStyle name="Normal 2 5 4 6 3" xfId="5947" xr:uid="{00000000-0005-0000-0000-00005D110000}"/>
    <cellStyle name="Normal 2 5 4 6 3 2" xfId="14389" xr:uid="{5D7A45D6-0C6F-4AE2-A42A-FD08FAF583DC}"/>
    <cellStyle name="Normal 2 5 4 6 4" xfId="10171" xr:uid="{F973AE22-05A6-4616-9EC2-D79742862237}"/>
    <cellStyle name="Normal 2 5 4 7" xfId="2053" xr:uid="{00000000-0005-0000-0000-00005E110000}"/>
    <cellStyle name="Normal 2 5 4 7 2" xfId="4282" xr:uid="{00000000-0005-0000-0000-00005F110000}"/>
    <cellStyle name="Normal 2 5 4 7 2 2" xfId="8505" xr:uid="{00000000-0005-0000-0000-000060110000}"/>
    <cellStyle name="Normal 2 5 4 7 2 2 2" xfId="16947" xr:uid="{820B3758-F3F1-40B5-A175-A80933DDA92C}"/>
    <cellStyle name="Normal 2 5 4 7 2 3" xfId="12729" xr:uid="{887F9E3F-C53E-489C-8F53-CA83EE48208F}"/>
    <cellStyle name="Normal 2 5 4 7 3" xfId="6360" xr:uid="{00000000-0005-0000-0000-000061110000}"/>
    <cellStyle name="Normal 2 5 4 7 3 2" xfId="14802" xr:uid="{364E38FC-BD19-4C45-8969-B7D609E83876}"/>
    <cellStyle name="Normal 2 5 4 7 4" xfId="10584" xr:uid="{3B73DC32-E2CE-4A93-94C0-CFE296A30B25}"/>
    <cellStyle name="Normal 2 5 4 8" xfId="2489" xr:uid="{00000000-0005-0000-0000-000062110000}"/>
    <cellStyle name="Normal 2 5 4 8 2" xfId="6773" xr:uid="{00000000-0005-0000-0000-000063110000}"/>
    <cellStyle name="Normal 2 5 4 8 2 2" xfId="15215" xr:uid="{578D4A8E-498D-4686-B9E5-825E05A91540}"/>
    <cellStyle name="Normal 2 5 4 8 3" xfId="10997" xr:uid="{83051D84-52F6-4F9F-B360-040DB6FFA2F6}"/>
    <cellStyle name="Normal 2 5 4 9" xfId="4707" xr:uid="{00000000-0005-0000-0000-000064110000}"/>
    <cellStyle name="Normal 2 5 4 9 2" xfId="13149" xr:uid="{3161183F-0925-4434-A78C-9DFB80038A48}"/>
    <cellStyle name="Normal 2 5 5" xfId="803" xr:uid="{00000000-0005-0000-0000-000065110000}"/>
    <cellStyle name="Normal 2 5 5 2" xfId="3042" xr:uid="{00000000-0005-0000-0000-000066110000}"/>
    <cellStyle name="Normal 2 5 5 2 2" xfId="7265" xr:uid="{00000000-0005-0000-0000-000067110000}"/>
    <cellStyle name="Normal 2 5 5 2 2 2" xfId="15707" xr:uid="{CA4528F4-863D-430B-BB32-7AC21B5AE1DB}"/>
    <cellStyle name="Normal 2 5 5 2 3" xfId="11489" xr:uid="{BA5016E3-624F-4042-8F51-CCFB1A5C6C9D}"/>
    <cellStyle name="Normal 2 5 5 3" xfId="5120" xr:uid="{00000000-0005-0000-0000-000068110000}"/>
    <cellStyle name="Normal 2 5 5 3 2" xfId="13562" xr:uid="{6C432DD2-F77F-4E38-BB75-F411B95A8CB2}"/>
    <cellStyle name="Normal 2 5 5 4" xfId="9344" xr:uid="{A4DE1136-CEBE-4A4E-BC76-BE8CA990972C}"/>
    <cellStyle name="Normal 2 5 6" xfId="1225" xr:uid="{00000000-0005-0000-0000-000069110000}"/>
    <cellStyle name="Normal 2 5 6 2" xfId="3455" xr:uid="{00000000-0005-0000-0000-00006A110000}"/>
    <cellStyle name="Normal 2 5 6 2 2" xfId="7678" xr:uid="{00000000-0005-0000-0000-00006B110000}"/>
    <cellStyle name="Normal 2 5 6 2 2 2" xfId="16120" xr:uid="{A2F79AD2-8111-4CFC-A713-3815865BBDA9}"/>
    <cellStyle name="Normal 2 5 6 2 3" xfId="11902" xr:uid="{3094324B-5371-4A63-9B4B-B25F167AE21E}"/>
    <cellStyle name="Normal 2 5 6 3" xfId="5533" xr:uid="{00000000-0005-0000-0000-00006C110000}"/>
    <cellStyle name="Normal 2 5 6 3 2" xfId="13975" xr:uid="{866CF905-3B18-4F70-BE39-84D6C11FEB9A}"/>
    <cellStyle name="Normal 2 5 6 4" xfId="9757" xr:uid="{79147230-8BD5-46E1-B00A-F1674EDF48AC}"/>
    <cellStyle name="Normal 2 5 7" xfId="1638" xr:uid="{00000000-0005-0000-0000-00006D110000}"/>
    <cellStyle name="Normal 2 5 7 2" xfId="3868" xr:uid="{00000000-0005-0000-0000-00006E110000}"/>
    <cellStyle name="Normal 2 5 7 2 2" xfId="8091" xr:uid="{00000000-0005-0000-0000-00006F110000}"/>
    <cellStyle name="Normal 2 5 7 2 2 2" xfId="16533" xr:uid="{95DE8105-8DB1-42E5-A042-FE78C7F95AC9}"/>
    <cellStyle name="Normal 2 5 7 2 3" xfId="12315" xr:uid="{34563D54-BE45-4146-977E-D359C277909E}"/>
    <cellStyle name="Normal 2 5 7 3" xfId="5946" xr:uid="{00000000-0005-0000-0000-000070110000}"/>
    <cellStyle name="Normal 2 5 7 3 2" xfId="14388" xr:uid="{C7096D6E-5C41-4BC4-B647-F7D320A69CED}"/>
    <cellStyle name="Normal 2 5 7 4" xfId="10170" xr:uid="{025A911A-14B5-443A-BCA4-5E4DF30A6AD3}"/>
    <cellStyle name="Normal 2 5 8" xfId="2052" xr:uid="{00000000-0005-0000-0000-000071110000}"/>
    <cellStyle name="Normal 2 5 8 2" xfId="4281" xr:uid="{00000000-0005-0000-0000-000072110000}"/>
    <cellStyle name="Normal 2 5 8 2 2" xfId="8504" xr:uid="{00000000-0005-0000-0000-000073110000}"/>
    <cellStyle name="Normal 2 5 8 2 2 2" xfId="16946" xr:uid="{965B7A56-CEBF-4E45-AAC8-AC7DC18927A0}"/>
    <cellStyle name="Normal 2 5 8 2 3" xfId="12728" xr:uid="{BCF4EE6D-DF07-46F8-945E-1491521935E2}"/>
    <cellStyle name="Normal 2 5 8 3" xfId="6359" xr:uid="{00000000-0005-0000-0000-000074110000}"/>
    <cellStyle name="Normal 2 5 8 3 2" xfId="14801" xr:uid="{0A1AB990-DAD4-404E-BAF6-967E6F04483A}"/>
    <cellStyle name="Normal 2 5 8 4" xfId="10583" xr:uid="{6A00233A-AAD9-46AD-8D99-87AA7CD32B37}"/>
    <cellStyle name="Normal 2 5 9" xfId="2488" xr:uid="{00000000-0005-0000-0000-000075110000}"/>
    <cellStyle name="Normal 2 5 9 2" xfId="6772" xr:uid="{00000000-0005-0000-0000-000076110000}"/>
    <cellStyle name="Normal 2 5 9 2 2" xfId="15214" xr:uid="{89E80B37-4992-4AB8-AFEB-9D0EB9B6EDED}"/>
    <cellStyle name="Normal 2 5 9 3" xfId="10996" xr:uid="{BDEF244C-5CA2-45E0-9043-5781F025AF01}"/>
    <cellStyle name="Normal 2 6" xfId="322" xr:uid="{00000000-0005-0000-0000-000077110000}"/>
    <cellStyle name="Normal 2 7" xfId="769" xr:uid="{00000000-0005-0000-0000-000078110000}"/>
    <cellStyle name="Normal 2 8" xfId="4495" xr:uid="{00000000-0005-0000-0000-000079110000}"/>
    <cellStyle name="Normal 2 8 2" xfId="12940" xr:uid="{0FAF8896-5B9F-4CEA-A827-844F4A6961AB}"/>
    <cellStyle name="Normal 3" xfId="323" xr:uid="{00000000-0005-0000-0000-00007A110000}"/>
    <cellStyle name="Normal 3 2" xfId="324" xr:uid="{00000000-0005-0000-0000-00007B110000}"/>
    <cellStyle name="Normal 3 2 10" xfId="8935" xr:uid="{A51D05C5-73B8-43DE-9642-06E89090CE15}"/>
    <cellStyle name="Normal 3 2 2" xfId="325" xr:uid="{00000000-0005-0000-0000-00007C110000}"/>
    <cellStyle name="Normal 3 2 2 2" xfId="810" xr:uid="{00000000-0005-0000-0000-00007D110000}"/>
    <cellStyle name="Normal 3 2 3" xfId="326" xr:uid="{00000000-0005-0000-0000-00007E110000}"/>
    <cellStyle name="Normal 3 2 3 10" xfId="8936" xr:uid="{6EFC3442-11D5-4D12-975F-D1E5C33D1466}"/>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2 2 2" xfId="15715" xr:uid="{B294DE46-5297-44E9-9656-371C641CB16C}"/>
    <cellStyle name="Normal 3 2 3 2 2 2 2 3" xfId="11497" xr:uid="{B95F5DEA-6236-4DF2-9A28-84579228525F}"/>
    <cellStyle name="Normal 3 2 3 2 2 2 3" xfId="5128" xr:uid="{00000000-0005-0000-0000-000084110000}"/>
    <cellStyle name="Normal 3 2 3 2 2 2 3 2" xfId="13570" xr:uid="{388C2084-DD96-4815-BD76-53724C99DCD1}"/>
    <cellStyle name="Normal 3 2 3 2 2 2 4" xfId="9352" xr:uid="{37A477BD-F27E-4578-91A9-A853501B495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2 2 2" xfId="16128" xr:uid="{B2126E8C-230E-4CB3-B363-4D1537480D36}"/>
    <cellStyle name="Normal 3 2 3 2 2 3 2 3" xfId="11910" xr:uid="{4489C94F-B642-443E-93D5-03D874D55EFF}"/>
    <cellStyle name="Normal 3 2 3 2 2 3 3" xfId="5541" xr:uid="{00000000-0005-0000-0000-000088110000}"/>
    <cellStyle name="Normal 3 2 3 2 2 3 3 2" xfId="13983" xr:uid="{A6478E41-3015-4120-AEFE-AA8B2C371E8B}"/>
    <cellStyle name="Normal 3 2 3 2 2 3 4" xfId="9765" xr:uid="{D1D34DE4-6240-45C4-A5AF-7310A7ABFD34}"/>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2 2 2" xfId="16541" xr:uid="{B2037468-E94F-4635-A1A1-FEA5EA28C1CD}"/>
    <cellStyle name="Normal 3 2 3 2 2 4 2 3" xfId="12323" xr:uid="{E3882A5C-FA8D-4F9F-A76B-2C8957561B1F}"/>
    <cellStyle name="Normal 3 2 3 2 2 4 3" xfId="5954" xr:uid="{00000000-0005-0000-0000-00008C110000}"/>
    <cellStyle name="Normal 3 2 3 2 2 4 3 2" xfId="14396" xr:uid="{C6AAE740-6F84-4D7D-A5C1-569D949EAC7D}"/>
    <cellStyle name="Normal 3 2 3 2 2 4 4" xfId="10178" xr:uid="{B11C07F8-7E16-42FF-AF46-70941AE2E7F2}"/>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2 2 2" xfId="16954" xr:uid="{43B2E126-BBCC-47A8-AA1E-97809EB61BD9}"/>
    <cellStyle name="Normal 3 2 3 2 2 5 2 3" xfId="12736" xr:uid="{951B62E0-5DCD-4571-9247-1621293BAA91}"/>
    <cellStyle name="Normal 3 2 3 2 2 5 3" xfId="6367" xr:uid="{00000000-0005-0000-0000-000090110000}"/>
    <cellStyle name="Normal 3 2 3 2 2 5 3 2" xfId="14809" xr:uid="{6CAADF8C-37A3-4BC6-A4BB-FCCA60449AC7}"/>
    <cellStyle name="Normal 3 2 3 2 2 5 4" xfId="10591" xr:uid="{B1737FDB-1516-4BD5-BC45-542C6EA8675A}"/>
    <cellStyle name="Normal 3 2 3 2 2 6" xfId="2496" xr:uid="{00000000-0005-0000-0000-000091110000}"/>
    <cellStyle name="Normal 3 2 3 2 2 6 2" xfId="6780" xr:uid="{00000000-0005-0000-0000-000092110000}"/>
    <cellStyle name="Normal 3 2 3 2 2 6 2 2" xfId="15222" xr:uid="{1D15971F-2DB9-4192-B3D5-740E52C28D8B}"/>
    <cellStyle name="Normal 3 2 3 2 2 6 3" xfId="11004" xr:uid="{7D13849C-9227-4FCE-BFA7-B91FA9786109}"/>
    <cellStyle name="Normal 3 2 3 2 2 7" xfId="4714" xr:uid="{00000000-0005-0000-0000-000093110000}"/>
    <cellStyle name="Normal 3 2 3 2 2 7 2" xfId="13156" xr:uid="{7DA52250-D788-4229-ABD9-33C0B9AFA463}"/>
    <cellStyle name="Normal 3 2 3 2 2 8" xfId="8938" xr:uid="{F0EEAC69-2C93-4F71-9FB3-79A0A1B0C407}"/>
    <cellStyle name="Normal 3 2 3 2 3" xfId="812" xr:uid="{00000000-0005-0000-0000-000094110000}"/>
    <cellStyle name="Normal 3 2 3 2 3 2" xfId="3049" xr:uid="{00000000-0005-0000-0000-000095110000}"/>
    <cellStyle name="Normal 3 2 3 2 3 2 2" xfId="7272" xr:uid="{00000000-0005-0000-0000-000096110000}"/>
    <cellStyle name="Normal 3 2 3 2 3 2 2 2" xfId="15714" xr:uid="{82B0F14C-4E8F-44ED-B842-6896F3ECA972}"/>
    <cellStyle name="Normal 3 2 3 2 3 2 3" xfId="11496" xr:uid="{E2B4D9C9-A3AB-42A0-AD84-1B1EF1762816}"/>
    <cellStyle name="Normal 3 2 3 2 3 3" xfId="5127" xr:uid="{00000000-0005-0000-0000-000097110000}"/>
    <cellStyle name="Normal 3 2 3 2 3 3 2" xfId="13569" xr:uid="{A1193198-F251-4B95-979B-02A3105EAEE8}"/>
    <cellStyle name="Normal 3 2 3 2 3 4" xfId="9351" xr:uid="{809A6C5B-7B91-4D14-9DFE-5351855BCBE3}"/>
    <cellStyle name="Normal 3 2 3 2 4" xfId="1232" xr:uid="{00000000-0005-0000-0000-000098110000}"/>
    <cellStyle name="Normal 3 2 3 2 4 2" xfId="3462" xr:uid="{00000000-0005-0000-0000-000099110000}"/>
    <cellStyle name="Normal 3 2 3 2 4 2 2" xfId="7685" xr:uid="{00000000-0005-0000-0000-00009A110000}"/>
    <cellStyle name="Normal 3 2 3 2 4 2 2 2" xfId="16127" xr:uid="{0531BE14-2210-4E68-A8E7-D645F9B53DEF}"/>
    <cellStyle name="Normal 3 2 3 2 4 2 3" xfId="11909" xr:uid="{402DA189-3AAB-47C7-AC3F-110733D5931F}"/>
    <cellStyle name="Normal 3 2 3 2 4 3" xfId="5540" xr:uid="{00000000-0005-0000-0000-00009B110000}"/>
    <cellStyle name="Normal 3 2 3 2 4 3 2" xfId="13982" xr:uid="{CFE706D2-56B5-4125-9062-FA0B4CA2B453}"/>
    <cellStyle name="Normal 3 2 3 2 4 4" xfId="9764" xr:uid="{D38EB5C6-B66E-4EE0-BA45-5ADA0FE41CC2}"/>
    <cellStyle name="Normal 3 2 3 2 5" xfId="1645" xr:uid="{00000000-0005-0000-0000-00009C110000}"/>
    <cellStyle name="Normal 3 2 3 2 5 2" xfId="3875" xr:uid="{00000000-0005-0000-0000-00009D110000}"/>
    <cellStyle name="Normal 3 2 3 2 5 2 2" xfId="8098" xr:uid="{00000000-0005-0000-0000-00009E110000}"/>
    <cellStyle name="Normal 3 2 3 2 5 2 2 2" xfId="16540" xr:uid="{50A6E260-2483-4889-82A9-4B02FED8485F}"/>
    <cellStyle name="Normal 3 2 3 2 5 2 3" xfId="12322" xr:uid="{CDF2EAFA-DAFE-477E-B8F8-B3DCC3BC992E}"/>
    <cellStyle name="Normal 3 2 3 2 5 3" xfId="5953" xr:uid="{00000000-0005-0000-0000-00009F110000}"/>
    <cellStyle name="Normal 3 2 3 2 5 3 2" xfId="14395" xr:uid="{950D19CF-3FAB-4706-9282-7E845D5DB702}"/>
    <cellStyle name="Normal 3 2 3 2 5 4" xfId="10177" xr:uid="{AEA080E1-31AB-4123-B81A-F283A7772B79}"/>
    <cellStyle name="Normal 3 2 3 2 6" xfId="2059" xr:uid="{00000000-0005-0000-0000-0000A0110000}"/>
    <cellStyle name="Normal 3 2 3 2 6 2" xfId="4288" xr:uid="{00000000-0005-0000-0000-0000A1110000}"/>
    <cellStyle name="Normal 3 2 3 2 6 2 2" xfId="8511" xr:uid="{00000000-0005-0000-0000-0000A2110000}"/>
    <cellStyle name="Normal 3 2 3 2 6 2 2 2" xfId="16953" xr:uid="{8353AB15-773F-4768-AE31-38E0339DC3F8}"/>
    <cellStyle name="Normal 3 2 3 2 6 2 3" xfId="12735" xr:uid="{1A9D5956-34AA-4A7F-8791-8F56C9EAD150}"/>
    <cellStyle name="Normal 3 2 3 2 6 3" xfId="6366" xr:uid="{00000000-0005-0000-0000-0000A3110000}"/>
    <cellStyle name="Normal 3 2 3 2 6 3 2" xfId="14808" xr:uid="{FDB65970-6F72-4EF3-96C7-C97366983C9C}"/>
    <cellStyle name="Normal 3 2 3 2 6 4" xfId="10590" xr:uid="{CF2BC8FC-44F9-441D-8BCE-A3FAE267B728}"/>
    <cellStyle name="Normal 3 2 3 2 7" xfId="2495" xr:uid="{00000000-0005-0000-0000-0000A4110000}"/>
    <cellStyle name="Normal 3 2 3 2 7 2" xfId="6779" xr:uid="{00000000-0005-0000-0000-0000A5110000}"/>
    <cellStyle name="Normal 3 2 3 2 7 2 2" xfId="15221" xr:uid="{3B14DE70-2E38-4C05-9B49-AD47485E0091}"/>
    <cellStyle name="Normal 3 2 3 2 7 3" xfId="11003" xr:uid="{36A302AB-F922-4F18-B1DD-D39DE882A4AB}"/>
    <cellStyle name="Normal 3 2 3 2 8" xfId="4713" xr:uid="{00000000-0005-0000-0000-0000A6110000}"/>
    <cellStyle name="Normal 3 2 3 2 8 2" xfId="13155" xr:uid="{B5AB3540-E24B-4AD4-96C8-546E385E4F7E}"/>
    <cellStyle name="Normal 3 2 3 2 9" xfId="8937" xr:uid="{566081AB-43E8-488B-AB0D-3FDE45730D8D}"/>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2 2 2" xfId="15716" xr:uid="{FC5CBD3A-E400-45B5-BC4B-880D23D7DC54}"/>
    <cellStyle name="Normal 3 2 3 3 2 2 3" xfId="11498" xr:uid="{1205311B-B8DC-45C9-97D7-C019CBC42236}"/>
    <cellStyle name="Normal 3 2 3 3 2 3" xfId="5129" xr:uid="{00000000-0005-0000-0000-0000AB110000}"/>
    <cellStyle name="Normal 3 2 3 3 2 3 2" xfId="13571" xr:uid="{31B0B137-3545-4020-BE4A-111AAB1126A1}"/>
    <cellStyle name="Normal 3 2 3 3 2 4" xfId="9353" xr:uid="{39D1FFD2-DF1E-49C3-AA69-74B49336511E}"/>
    <cellStyle name="Normal 3 2 3 3 3" xfId="1234" xr:uid="{00000000-0005-0000-0000-0000AC110000}"/>
    <cellStyle name="Normal 3 2 3 3 3 2" xfId="3464" xr:uid="{00000000-0005-0000-0000-0000AD110000}"/>
    <cellStyle name="Normal 3 2 3 3 3 2 2" xfId="7687" xr:uid="{00000000-0005-0000-0000-0000AE110000}"/>
    <cellStyle name="Normal 3 2 3 3 3 2 2 2" xfId="16129" xr:uid="{6D0B15E9-ECDC-4D6B-8799-EC38C8AFCBD7}"/>
    <cellStyle name="Normal 3 2 3 3 3 2 3" xfId="11911" xr:uid="{5713DCBA-CB6C-4401-A734-F6ED9D495C5F}"/>
    <cellStyle name="Normal 3 2 3 3 3 3" xfId="5542" xr:uid="{00000000-0005-0000-0000-0000AF110000}"/>
    <cellStyle name="Normal 3 2 3 3 3 3 2" xfId="13984" xr:uid="{5D071B8E-2D03-4722-A0CF-E868D41BBDD0}"/>
    <cellStyle name="Normal 3 2 3 3 3 4" xfId="9766" xr:uid="{CA84C541-DF71-41D8-9C3E-C1A6162E785D}"/>
    <cellStyle name="Normal 3 2 3 3 4" xfId="1647" xr:uid="{00000000-0005-0000-0000-0000B0110000}"/>
    <cellStyle name="Normal 3 2 3 3 4 2" xfId="3877" xr:uid="{00000000-0005-0000-0000-0000B1110000}"/>
    <cellStyle name="Normal 3 2 3 3 4 2 2" xfId="8100" xr:uid="{00000000-0005-0000-0000-0000B2110000}"/>
    <cellStyle name="Normal 3 2 3 3 4 2 2 2" xfId="16542" xr:uid="{F1162FAE-590B-4C33-B029-D3A17A9004B8}"/>
    <cellStyle name="Normal 3 2 3 3 4 2 3" xfId="12324" xr:uid="{30B4BE8E-823D-4B2D-9DD6-EDE25B1D7179}"/>
    <cellStyle name="Normal 3 2 3 3 4 3" xfId="5955" xr:uid="{00000000-0005-0000-0000-0000B3110000}"/>
    <cellStyle name="Normal 3 2 3 3 4 3 2" xfId="14397" xr:uid="{8E0D3DFF-3BC2-4F53-A7D2-3530716C4921}"/>
    <cellStyle name="Normal 3 2 3 3 4 4" xfId="10179" xr:uid="{8C075E10-25B3-4E09-9812-6CAEF6B83A6B}"/>
    <cellStyle name="Normal 3 2 3 3 5" xfId="2061" xr:uid="{00000000-0005-0000-0000-0000B4110000}"/>
    <cellStyle name="Normal 3 2 3 3 5 2" xfId="4290" xr:uid="{00000000-0005-0000-0000-0000B5110000}"/>
    <cellStyle name="Normal 3 2 3 3 5 2 2" xfId="8513" xr:uid="{00000000-0005-0000-0000-0000B6110000}"/>
    <cellStyle name="Normal 3 2 3 3 5 2 2 2" xfId="16955" xr:uid="{559C18D5-2534-4B3B-BFA8-0DE2AB15E488}"/>
    <cellStyle name="Normal 3 2 3 3 5 2 3" xfId="12737" xr:uid="{8E2A5D5D-4821-4CB6-B2C1-B10E1F95794B}"/>
    <cellStyle name="Normal 3 2 3 3 5 3" xfId="6368" xr:uid="{00000000-0005-0000-0000-0000B7110000}"/>
    <cellStyle name="Normal 3 2 3 3 5 3 2" xfId="14810" xr:uid="{B0B721ED-2968-4BB9-A62F-F27C0F22504A}"/>
    <cellStyle name="Normal 3 2 3 3 5 4" xfId="10592" xr:uid="{9AE19B0D-8DAC-46DF-AC79-5EBE1F1C8B81}"/>
    <cellStyle name="Normal 3 2 3 3 6" xfId="2497" xr:uid="{00000000-0005-0000-0000-0000B8110000}"/>
    <cellStyle name="Normal 3 2 3 3 6 2" xfId="6781" xr:uid="{00000000-0005-0000-0000-0000B9110000}"/>
    <cellStyle name="Normal 3 2 3 3 6 2 2" xfId="15223" xr:uid="{226D24DC-3878-468B-B169-A63FA8E5F641}"/>
    <cellStyle name="Normal 3 2 3 3 6 3" xfId="11005" xr:uid="{94615997-5062-434E-9D1D-3288F31D96F5}"/>
    <cellStyle name="Normal 3 2 3 3 7" xfId="4715" xr:uid="{00000000-0005-0000-0000-0000BA110000}"/>
    <cellStyle name="Normal 3 2 3 3 7 2" xfId="13157" xr:uid="{E7BF6AF3-2373-4CB0-8522-C5561F475C05}"/>
    <cellStyle name="Normal 3 2 3 3 8" xfId="8939" xr:uid="{04830ABB-CF11-481C-9085-7D19448ECF6C}"/>
    <cellStyle name="Normal 3 2 3 4" xfId="811" xr:uid="{00000000-0005-0000-0000-0000BB110000}"/>
    <cellStyle name="Normal 3 2 3 4 2" xfId="3048" xr:uid="{00000000-0005-0000-0000-0000BC110000}"/>
    <cellStyle name="Normal 3 2 3 4 2 2" xfId="7271" xr:uid="{00000000-0005-0000-0000-0000BD110000}"/>
    <cellStyle name="Normal 3 2 3 4 2 2 2" xfId="15713" xr:uid="{43F5A64E-7F38-4830-84EA-958D6C41035E}"/>
    <cellStyle name="Normal 3 2 3 4 2 3" xfId="11495" xr:uid="{B6AF0A44-64C7-46E8-8C1B-89FEBC1CC430}"/>
    <cellStyle name="Normal 3 2 3 4 3" xfId="5126" xr:uid="{00000000-0005-0000-0000-0000BE110000}"/>
    <cellStyle name="Normal 3 2 3 4 3 2" xfId="13568" xr:uid="{5088D1E6-4738-4819-B8A7-632CCA014F8D}"/>
    <cellStyle name="Normal 3 2 3 4 4" xfId="9350" xr:uid="{B9C6A91B-7B7B-4611-8DA1-7F8239DCBE24}"/>
    <cellStyle name="Normal 3 2 3 5" xfId="1231" xr:uid="{00000000-0005-0000-0000-0000BF110000}"/>
    <cellStyle name="Normal 3 2 3 5 2" xfId="3461" xr:uid="{00000000-0005-0000-0000-0000C0110000}"/>
    <cellStyle name="Normal 3 2 3 5 2 2" xfId="7684" xr:uid="{00000000-0005-0000-0000-0000C1110000}"/>
    <cellStyle name="Normal 3 2 3 5 2 2 2" xfId="16126" xr:uid="{2D997B45-174A-40CC-91EF-3622DC107620}"/>
    <cellStyle name="Normal 3 2 3 5 2 3" xfId="11908" xr:uid="{1680FEF0-7EFA-46BF-9094-1FAA31EE1D04}"/>
    <cellStyle name="Normal 3 2 3 5 3" xfId="5539" xr:uid="{00000000-0005-0000-0000-0000C2110000}"/>
    <cellStyle name="Normal 3 2 3 5 3 2" xfId="13981" xr:uid="{89A86782-88F6-4B90-B9BE-844E813F8918}"/>
    <cellStyle name="Normal 3 2 3 5 4" xfId="9763" xr:uid="{ECF7E9ED-6C2A-41BC-B8FA-F0C4965D5F2F}"/>
    <cellStyle name="Normal 3 2 3 6" xfId="1644" xr:uid="{00000000-0005-0000-0000-0000C3110000}"/>
    <cellStyle name="Normal 3 2 3 6 2" xfId="3874" xr:uid="{00000000-0005-0000-0000-0000C4110000}"/>
    <cellStyle name="Normal 3 2 3 6 2 2" xfId="8097" xr:uid="{00000000-0005-0000-0000-0000C5110000}"/>
    <cellStyle name="Normal 3 2 3 6 2 2 2" xfId="16539" xr:uid="{680E5FC0-975E-4D72-A77F-B05D6FBAC394}"/>
    <cellStyle name="Normal 3 2 3 6 2 3" xfId="12321" xr:uid="{043505CC-F357-49B7-A33D-70956949769F}"/>
    <cellStyle name="Normal 3 2 3 6 3" xfId="5952" xr:uid="{00000000-0005-0000-0000-0000C6110000}"/>
    <cellStyle name="Normal 3 2 3 6 3 2" xfId="14394" xr:uid="{6CEFB235-D3E6-4F44-A6F8-FA58EC58579A}"/>
    <cellStyle name="Normal 3 2 3 6 4" xfId="10176" xr:uid="{A29FE238-4FE3-4F26-93C0-EB67AB4F3F5C}"/>
    <cellStyle name="Normal 3 2 3 7" xfId="2058" xr:uid="{00000000-0005-0000-0000-0000C7110000}"/>
    <cellStyle name="Normal 3 2 3 7 2" xfId="4287" xr:uid="{00000000-0005-0000-0000-0000C8110000}"/>
    <cellStyle name="Normal 3 2 3 7 2 2" xfId="8510" xr:uid="{00000000-0005-0000-0000-0000C9110000}"/>
    <cellStyle name="Normal 3 2 3 7 2 2 2" xfId="16952" xr:uid="{3DB75859-D7F7-4BCF-BDE0-2DE15CE3B986}"/>
    <cellStyle name="Normal 3 2 3 7 2 3" xfId="12734" xr:uid="{8472E064-5226-4075-B720-5577C82F9948}"/>
    <cellStyle name="Normal 3 2 3 7 3" xfId="6365" xr:uid="{00000000-0005-0000-0000-0000CA110000}"/>
    <cellStyle name="Normal 3 2 3 7 3 2" xfId="14807" xr:uid="{EAE722A5-0860-491B-8DC9-99CFB60200F6}"/>
    <cellStyle name="Normal 3 2 3 7 4" xfId="10589" xr:uid="{80DB6101-F95B-4F2A-BAF7-CB0C2CA64E71}"/>
    <cellStyle name="Normal 3 2 3 8" xfId="2494" xr:uid="{00000000-0005-0000-0000-0000CB110000}"/>
    <cellStyle name="Normal 3 2 3 8 2" xfId="6778" xr:uid="{00000000-0005-0000-0000-0000CC110000}"/>
    <cellStyle name="Normal 3 2 3 8 2 2" xfId="15220" xr:uid="{38AA6430-0B42-4F6A-BBD4-3009D5BFFC20}"/>
    <cellStyle name="Normal 3 2 3 8 3" xfId="11002" xr:uid="{28FCBAAA-52C9-40E9-A2F6-B1A49E27AFAD}"/>
    <cellStyle name="Normal 3 2 3 9" xfId="4712" xr:uid="{00000000-0005-0000-0000-0000CD110000}"/>
    <cellStyle name="Normal 3 2 3 9 2" xfId="13154" xr:uid="{6744F5CA-8FDC-4B22-83A8-C13A50336EEE}"/>
    <cellStyle name="Normal 3 2 4" xfId="809" xr:uid="{00000000-0005-0000-0000-0000CE110000}"/>
    <cellStyle name="Normal 3 2 4 2" xfId="3047" xr:uid="{00000000-0005-0000-0000-0000CF110000}"/>
    <cellStyle name="Normal 3 2 4 2 2" xfId="7270" xr:uid="{00000000-0005-0000-0000-0000D0110000}"/>
    <cellStyle name="Normal 3 2 4 2 2 2" xfId="15712" xr:uid="{E32F5A55-08F5-40E3-87F5-6A5499A91C58}"/>
    <cellStyle name="Normal 3 2 4 2 3" xfId="11494" xr:uid="{B66E3726-D223-49E8-A95E-489C1E45575C}"/>
    <cellStyle name="Normal 3 2 4 3" xfId="5125" xr:uid="{00000000-0005-0000-0000-0000D1110000}"/>
    <cellStyle name="Normal 3 2 4 3 2" xfId="13567" xr:uid="{6A48A3C6-4606-466F-9247-32A68882D967}"/>
    <cellStyle name="Normal 3 2 4 4" xfId="9349" xr:uid="{A3842470-427A-47BB-B929-9D683F37D40F}"/>
    <cellStyle name="Normal 3 2 5" xfId="1230" xr:uid="{00000000-0005-0000-0000-0000D2110000}"/>
    <cellStyle name="Normal 3 2 5 2" xfId="3460" xr:uid="{00000000-0005-0000-0000-0000D3110000}"/>
    <cellStyle name="Normal 3 2 5 2 2" xfId="7683" xr:uid="{00000000-0005-0000-0000-0000D4110000}"/>
    <cellStyle name="Normal 3 2 5 2 2 2" xfId="16125" xr:uid="{71405F33-5B6C-454F-806B-59DC25CFDEF1}"/>
    <cellStyle name="Normal 3 2 5 2 3" xfId="11907" xr:uid="{CB6C100B-DA40-4B78-985B-2372EC71D381}"/>
    <cellStyle name="Normal 3 2 5 3" xfId="5538" xr:uid="{00000000-0005-0000-0000-0000D5110000}"/>
    <cellStyle name="Normal 3 2 5 3 2" xfId="13980" xr:uid="{BDD30EC6-CB41-42AF-B816-81AC6D246CB6}"/>
    <cellStyle name="Normal 3 2 5 4" xfId="9762" xr:uid="{6BABEA00-7260-42D5-952C-FA120AD6C844}"/>
    <cellStyle name="Normal 3 2 6" xfId="1643" xr:uid="{00000000-0005-0000-0000-0000D6110000}"/>
    <cellStyle name="Normal 3 2 6 2" xfId="3873" xr:uid="{00000000-0005-0000-0000-0000D7110000}"/>
    <cellStyle name="Normal 3 2 6 2 2" xfId="8096" xr:uid="{00000000-0005-0000-0000-0000D8110000}"/>
    <cellStyle name="Normal 3 2 6 2 2 2" xfId="16538" xr:uid="{589666E4-C363-465E-8BB6-FF1B96894817}"/>
    <cellStyle name="Normal 3 2 6 2 3" xfId="12320" xr:uid="{40D289A4-0CDF-4845-9C60-D099C7D8C493}"/>
    <cellStyle name="Normal 3 2 6 3" xfId="5951" xr:uid="{00000000-0005-0000-0000-0000D9110000}"/>
    <cellStyle name="Normal 3 2 6 3 2" xfId="14393" xr:uid="{1D737BE8-DAB7-4A11-8870-17D0D352B612}"/>
    <cellStyle name="Normal 3 2 6 4" xfId="10175" xr:uid="{B229F668-01E0-48C0-9DB2-3C8A0A74387C}"/>
    <cellStyle name="Normal 3 2 7" xfId="2057" xr:uid="{00000000-0005-0000-0000-0000DA110000}"/>
    <cellStyle name="Normal 3 2 7 2" xfId="4286" xr:uid="{00000000-0005-0000-0000-0000DB110000}"/>
    <cellStyle name="Normal 3 2 7 2 2" xfId="8509" xr:uid="{00000000-0005-0000-0000-0000DC110000}"/>
    <cellStyle name="Normal 3 2 7 2 2 2" xfId="16951" xr:uid="{2D83FB60-4683-4976-9750-B4B18A0E512F}"/>
    <cellStyle name="Normal 3 2 7 2 3" xfId="12733" xr:uid="{BD90E09C-4424-402F-AF37-51A4A8AF5DDB}"/>
    <cellStyle name="Normal 3 2 7 3" xfId="6364" xr:uid="{00000000-0005-0000-0000-0000DD110000}"/>
    <cellStyle name="Normal 3 2 7 3 2" xfId="14806" xr:uid="{AF57ECE4-0F5F-4AA4-ACC5-9AE1DCB3009C}"/>
    <cellStyle name="Normal 3 2 7 4" xfId="10588" xr:uid="{D314BBE0-811E-4530-A538-E7F4635D8FDC}"/>
    <cellStyle name="Normal 3 2 8" xfId="2493" xr:uid="{00000000-0005-0000-0000-0000DE110000}"/>
    <cellStyle name="Normal 3 2 8 2" xfId="6777" xr:uid="{00000000-0005-0000-0000-0000DF110000}"/>
    <cellStyle name="Normal 3 2 8 2 2" xfId="15219" xr:uid="{460D6425-4923-4C23-8B9A-74809AB6881A}"/>
    <cellStyle name="Normal 3 2 8 3" xfId="11001" xr:uid="{24E6DDCE-F680-4927-8B34-C0D2E0C3283E}"/>
    <cellStyle name="Normal 3 2 9" xfId="4711" xr:uid="{00000000-0005-0000-0000-0000E0110000}"/>
    <cellStyle name="Normal 3 2 9 2" xfId="13153" xr:uid="{2B2C36E6-F98E-406B-A757-2371CF53BD1F}"/>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10" xfId="8940" xr:uid="{8C499F6F-BBAC-4788-A1A7-7704424D0344}"/>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2 2 2" xfId="16956" xr:uid="{D2A2CD24-42DB-4414-8E7B-7A8E208491C0}"/>
    <cellStyle name="Normal 4 2 2 10 2 3" xfId="12738" xr:uid="{D868D7AA-CEC9-4B99-BB37-7A346A0EBF09}"/>
    <cellStyle name="Normal 4 2 2 10 3" xfId="6369" xr:uid="{00000000-0005-0000-0000-0000ED110000}"/>
    <cellStyle name="Normal 4 2 2 10 3 2" xfId="14811" xr:uid="{D45FBD48-D908-4D03-8199-15D0573B52E1}"/>
    <cellStyle name="Normal 4 2 2 10 4" xfId="10593" xr:uid="{87165E61-51F1-4A3F-98F9-FA962AA4B20F}"/>
    <cellStyle name="Normal 4 2 2 11" xfId="2498" xr:uid="{00000000-0005-0000-0000-0000EE110000}"/>
    <cellStyle name="Normal 4 2 2 11 2" xfId="6782" xr:uid="{00000000-0005-0000-0000-0000EF110000}"/>
    <cellStyle name="Normal 4 2 2 11 2 2" xfId="15224" xr:uid="{C374FBD2-9C1A-4F24-BE71-579053F90D0B}"/>
    <cellStyle name="Normal 4 2 2 11 3" xfId="11006" xr:uid="{0C7F8632-02AA-4A1B-AECB-171ED96E0CF7}"/>
    <cellStyle name="Normal 4 2 2 12" xfId="4717" xr:uid="{00000000-0005-0000-0000-0000F0110000}"/>
    <cellStyle name="Normal 4 2 2 12 2" xfId="13159" xr:uid="{79DA72A2-B99E-4664-8D54-8B996A53B3B9}"/>
    <cellStyle name="Normal 4 2 2 13" xfId="8941" xr:uid="{DCFB64CA-DC1A-4443-B37F-B79F4983576A}"/>
    <cellStyle name="Normal 4 2 2 2" xfId="338" xr:uid="{00000000-0005-0000-0000-0000F1110000}"/>
    <cellStyle name="Normal 4 2 2 3" xfId="339" xr:uid="{00000000-0005-0000-0000-0000F2110000}"/>
    <cellStyle name="Normal 4 2 2 3 10" xfId="4718" xr:uid="{00000000-0005-0000-0000-0000F3110000}"/>
    <cellStyle name="Normal 4 2 2 3 10 2" xfId="13160" xr:uid="{22E7847C-ABD3-4A46-B323-BB8F8A475000}"/>
    <cellStyle name="Normal 4 2 2 3 11" xfId="8942" xr:uid="{C38B75C3-8759-405D-A01F-74675B7E55C9}"/>
    <cellStyle name="Normal 4 2 2 3 2" xfId="340" xr:uid="{00000000-0005-0000-0000-0000F4110000}"/>
    <cellStyle name="Normal 4 2 2 3 2 10" xfId="8943" xr:uid="{6E7ACD61-1B87-48F2-8C2E-A73B904E9F28}"/>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2 2 2" xfId="15721" xr:uid="{49C44536-362E-43EB-AC61-261E1444111A}"/>
    <cellStyle name="Normal 4 2 2 3 2 2 2 2 2 3" xfId="11503" xr:uid="{56E83156-AE64-408E-A92C-8FC4B298646B}"/>
    <cellStyle name="Normal 4 2 2 3 2 2 2 2 3" xfId="5134" xr:uid="{00000000-0005-0000-0000-0000FA110000}"/>
    <cellStyle name="Normal 4 2 2 3 2 2 2 2 3 2" xfId="13576" xr:uid="{3D7EEB6A-C2A2-41B6-81EC-0C599D0F7CE2}"/>
    <cellStyle name="Normal 4 2 2 3 2 2 2 2 4" xfId="9358" xr:uid="{67B37EFA-310C-47E7-B4FD-D1E518295B4B}"/>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2 2 2" xfId="16134" xr:uid="{5D82923A-6B0E-4710-B6D2-E309918430EC}"/>
    <cellStyle name="Normal 4 2 2 3 2 2 2 3 2 3" xfId="11916" xr:uid="{8F58F198-7370-4E14-8D6E-4E4447FDE57B}"/>
    <cellStyle name="Normal 4 2 2 3 2 2 2 3 3" xfId="5547" xr:uid="{00000000-0005-0000-0000-0000FE110000}"/>
    <cellStyle name="Normal 4 2 2 3 2 2 2 3 3 2" xfId="13989" xr:uid="{33A9A8F9-0A79-4B53-827B-531F469A05CF}"/>
    <cellStyle name="Normal 4 2 2 3 2 2 2 3 4" xfId="9771" xr:uid="{B09E4AEC-F31D-4C7A-8F1F-C5B36EE810CC}"/>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2 2 2" xfId="16547" xr:uid="{3A92835A-A088-427A-8610-DA74AEDB2582}"/>
    <cellStyle name="Normal 4 2 2 3 2 2 2 4 2 3" xfId="12329" xr:uid="{F2C34671-0F33-4BC1-9733-06FAF6CE9E29}"/>
    <cellStyle name="Normal 4 2 2 3 2 2 2 4 3" xfId="5960" xr:uid="{00000000-0005-0000-0000-000002120000}"/>
    <cellStyle name="Normal 4 2 2 3 2 2 2 4 3 2" xfId="14402" xr:uid="{4FEEF8F6-872A-4010-8BBE-06DC114D28A3}"/>
    <cellStyle name="Normal 4 2 2 3 2 2 2 4 4" xfId="10184" xr:uid="{33382E29-BBC5-4FB7-8A01-1827DF21B9F7}"/>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2 2 2" xfId="16960" xr:uid="{D993E519-2E34-4ED1-B65E-75A9ED6CE6A8}"/>
    <cellStyle name="Normal 4 2 2 3 2 2 2 5 2 3" xfId="12742" xr:uid="{61819B81-4CAD-4043-A79D-6949D25B8581}"/>
    <cellStyle name="Normal 4 2 2 3 2 2 2 5 3" xfId="6373" xr:uid="{00000000-0005-0000-0000-000006120000}"/>
    <cellStyle name="Normal 4 2 2 3 2 2 2 5 3 2" xfId="14815" xr:uid="{93396C73-CC8E-4B5E-ADC2-AFEE7D12E26D}"/>
    <cellStyle name="Normal 4 2 2 3 2 2 2 5 4" xfId="10597" xr:uid="{95DF8978-6744-4CEC-8BF5-62C3D83698A0}"/>
    <cellStyle name="Normal 4 2 2 3 2 2 2 6" xfId="2502" xr:uid="{00000000-0005-0000-0000-000007120000}"/>
    <cellStyle name="Normal 4 2 2 3 2 2 2 6 2" xfId="6786" xr:uid="{00000000-0005-0000-0000-000008120000}"/>
    <cellStyle name="Normal 4 2 2 3 2 2 2 6 2 2" xfId="15228" xr:uid="{29C9D71F-2087-4D0C-86DB-CE8FAE9B19CC}"/>
    <cellStyle name="Normal 4 2 2 3 2 2 2 6 3" xfId="11010" xr:uid="{E8DE93EE-D65C-434F-A1BF-5EA2AAF6F90A}"/>
    <cellStyle name="Normal 4 2 2 3 2 2 2 7" xfId="4721" xr:uid="{00000000-0005-0000-0000-000009120000}"/>
    <cellStyle name="Normal 4 2 2 3 2 2 2 7 2" xfId="13163" xr:uid="{FDDB9C82-A171-4DB7-804D-203243A12C06}"/>
    <cellStyle name="Normal 4 2 2 3 2 2 2 8" xfId="8945" xr:uid="{B8D6C0C7-B8EB-430B-B1E7-BE7BB68140FD}"/>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2 2 2" xfId="15720" xr:uid="{A400C194-1C7B-4BA6-B90D-032F28E1B3AF}"/>
    <cellStyle name="Normal 4 2 2 3 2 2 3 2 3" xfId="11502" xr:uid="{A0B8BFB3-7FBA-4ADD-9A1B-53133442746B}"/>
    <cellStyle name="Normal 4 2 2 3 2 2 3 3" xfId="5133" xr:uid="{00000000-0005-0000-0000-00000D120000}"/>
    <cellStyle name="Normal 4 2 2 3 2 2 3 3 2" xfId="13575" xr:uid="{1563BE41-CECF-4CFE-A653-683AC634F4AB}"/>
    <cellStyle name="Normal 4 2 2 3 2 2 3 4" xfId="9357" xr:uid="{70940545-DA5E-4411-A256-F434723FA4C3}"/>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2 2 2" xfId="16133" xr:uid="{061D8C82-144D-4E1D-ACDB-E9BD13BEE46D}"/>
    <cellStyle name="Normal 4 2 2 3 2 2 4 2 3" xfId="11915" xr:uid="{19DEF55C-AB8E-48C0-82AF-DC74F65F9CCB}"/>
    <cellStyle name="Normal 4 2 2 3 2 2 4 3" xfId="5546" xr:uid="{00000000-0005-0000-0000-000011120000}"/>
    <cellStyle name="Normal 4 2 2 3 2 2 4 3 2" xfId="13988" xr:uid="{00472DDE-33E7-4E2A-B6C1-07E314649E93}"/>
    <cellStyle name="Normal 4 2 2 3 2 2 4 4" xfId="9770" xr:uid="{3E5DABCE-3B90-48FC-BD6D-D22E26EF7453}"/>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2 2 2" xfId="16546" xr:uid="{E5E09844-F9B4-45F8-8EFC-C5F9EB7B046A}"/>
    <cellStyle name="Normal 4 2 2 3 2 2 5 2 3" xfId="12328" xr:uid="{91A60EE7-723A-495B-8308-585775337072}"/>
    <cellStyle name="Normal 4 2 2 3 2 2 5 3" xfId="5959" xr:uid="{00000000-0005-0000-0000-000015120000}"/>
    <cellStyle name="Normal 4 2 2 3 2 2 5 3 2" xfId="14401" xr:uid="{D48EEEDE-81B3-429A-8ACF-BBD3446DFDB3}"/>
    <cellStyle name="Normal 4 2 2 3 2 2 5 4" xfId="10183" xr:uid="{768C595E-7A4D-45B0-B4CE-034367DC7C71}"/>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2 2 2" xfId="16959" xr:uid="{09E4FD74-7DCA-45F7-8185-7FF02A62B4C6}"/>
    <cellStyle name="Normal 4 2 2 3 2 2 6 2 3" xfId="12741" xr:uid="{D5121365-08F4-48F9-8601-80077675F339}"/>
    <cellStyle name="Normal 4 2 2 3 2 2 6 3" xfId="6372" xr:uid="{00000000-0005-0000-0000-000019120000}"/>
    <cellStyle name="Normal 4 2 2 3 2 2 6 3 2" xfId="14814" xr:uid="{F87B83CE-01D4-4D15-B54A-C79891066A78}"/>
    <cellStyle name="Normal 4 2 2 3 2 2 6 4" xfId="10596" xr:uid="{E3DD5B64-7AE1-4DB3-9734-A02DD2329942}"/>
    <cellStyle name="Normal 4 2 2 3 2 2 7" xfId="2501" xr:uid="{00000000-0005-0000-0000-00001A120000}"/>
    <cellStyle name="Normal 4 2 2 3 2 2 7 2" xfId="6785" xr:uid="{00000000-0005-0000-0000-00001B120000}"/>
    <cellStyle name="Normal 4 2 2 3 2 2 7 2 2" xfId="15227" xr:uid="{B71271F1-2DF3-4357-B0DD-D02D5547E5B3}"/>
    <cellStyle name="Normal 4 2 2 3 2 2 7 3" xfId="11009" xr:uid="{9130F3B2-4FD8-43FD-891C-DA021170E275}"/>
    <cellStyle name="Normal 4 2 2 3 2 2 8" xfId="4720" xr:uid="{00000000-0005-0000-0000-00001C120000}"/>
    <cellStyle name="Normal 4 2 2 3 2 2 8 2" xfId="13162" xr:uid="{51112FE3-921C-4CD6-8612-E1AFF1D320C1}"/>
    <cellStyle name="Normal 4 2 2 3 2 2 9" xfId="8944" xr:uid="{4992B113-BAEC-45BC-A8A8-8535048E2DEF}"/>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2 2 2" xfId="15722" xr:uid="{1AF6AFA2-CF3D-441D-B0CF-BCB80955124E}"/>
    <cellStyle name="Normal 4 2 2 3 2 3 2 2 3" xfId="11504" xr:uid="{9E4AFFB1-17C7-4A5D-88BD-3AAAF642AA63}"/>
    <cellStyle name="Normal 4 2 2 3 2 3 2 3" xfId="5135" xr:uid="{00000000-0005-0000-0000-000021120000}"/>
    <cellStyle name="Normal 4 2 2 3 2 3 2 3 2" xfId="13577" xr:uid="{D3F8097A-BBAC-4CA3-A33E-D55039CB39CF}"/>
    <cellStyle name="Normal 4 2 2 3 2 3 2 4" xfId="9359" xr:uid="{018A6B1E-4D06-40A1-86D9-019A60ABA8D7}"/>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2 2 2" xfId="16135" xr:uid="{A5E98324-58AE-479E-8140-955908B5D238}"/>
    <cellStyle name="Normal 4 2 2 3 2 3 3 2 3" xfId="11917" xr:uid="{F71704C2-1A6F-4041-B73A-0FACC93EFFAA}"/>
    <cellStyle name="Normal 4 2 2 3 2 3 3 3" xfId="5548" xr:uid="{00000000-0005-0000-0000-000025120000}"/>
    <cellStyle name="Normal 4 2 2 3 2 3 3 3 2" xfId="13990" xr:uid="{461B3664-3E12-4A28-A1B8-58B43466CEE6}"/>
    <cellStyle name="Normal 4 2 2 3 2 3 3 4" xfId="9772" xr:uid="{B0851CB5-EE32-4FCE-9892-4197009B3A8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2 2 2" xfId="16548" xr:uid="{77817D4A-F306-41DD-B3CD-640A20F36B36}"/>
    <cellStyle name="Normal 4 2 2 3 2 3 4 2 3" xfId="12330" xr:uid="{04E12231-A22E-4106-85F7-7D9F4A93A1A6}"/>
    <cellStyle name="Normal 4 2 2 3 2 3 4 3" xfId="5961" xr:uid="{00000000-0005-0000-0000-000029120000}"/>
    <cellStyle name="Normal 4 2 2 3 2 3 4 3 2" xfId="14403" xr:uid="{E4F213E3-F2B6-4983-B01C-B830E7CA1F75}"/>
    <cellStyle name="Normal 4 2 2 3 2 3 4 4" xfId="10185" xr:uid="{555C9B00-E976-4D42-8735-4899566368A7}"/>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2 2 2" xfId="16961" xr:uid="{7135EDD9-2258-4FE8-90F5-5A36E0D8FC7D}"/>
    <cellStyle name="Normal 4 2 2 3 2 3 5 2 3" xfId="12743" xr:uid="{EB1B4B40-0E3B-4384-A6B6-24C378D34017}"/>
    <cellStyle name="Normal 4 2 2 3 2 3 5 3" xfId="6374" xr:uid="{00000000-0005-0000-0000-00002D120000}"/>
    <cellStyle name="Normal 4 2 2 3 2 3 5 3 2" xfId="14816" xr:uid="{0DFA0AB9-FE28-46FB-9E57-4624881DD8B0}"/>
    <cellStyle name="Normal 4 2 2 3 2 3 5 4" xfId="10598" xr:uid="{A6417224-C377-413D-BD4E-784BF8490BAF}"/>
    <cellStyle name="Normal 4 2 2 3 2 3 6" xfId="2503" xr:uid="{00000000-0005-0000-0000-00002E120000}"/>
    <cellStyle name="Normal 4 2 2 3 2 3 6 2" xfId="6787" xr:uid="{00000000-0005-0000-0000-00002F120000}"/>
    <cellStyle name="Normal 4 2 2 3 2 3 6 2 2" xfId="15229" xr:uid="{4B101DC3-A370-4A64-8ABA-F427348CA48F}"/>
    <cellStyle name="Normal 4 2 2 3 2 3 6 3" xfId="11011" xr:uid="{38D94186-B4B1-4A77-8B2C-8A5A5076FEEF}"/>
    <cellStyle name="Normal 4 2 2 3 2 3 7" xfId="4722" xr:uid="{00000000-0005-0000-0000-000030120000}"/>
    <cellStyle name="Normal 4 2 2 3 2 3 7 2" xfId="13164" xr:uid="{69788A02-5868-4919-AB98-6D55B34FDDE5}"/>
    <cellStyle name="Normal 4 2 2 3 2 3 8" xfId="8946" xr:uid="{C5DCB9B4-F888-4E54-BE68-29B0B34DEEF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2 2 2" xfId="15719" xr:uid="{B90FA3BC-9EA9-427D-8633-4427CA4805C3}"/>
    <cellStyle name="Normal 4 2 2 3 2 4 2 3" xfId="11501" xr:uid="{2371A977-BC79-4353-B693-307992F31FE6}"/>
    <cellStyle name="Normal 4 2 2 3 2 4 3" xfId="5132" xr:uid="{00000000-0005-0000-0000-000034120000}"/>
    <cellStyle name="Normal 4 2 2 3 2 4 3 2" xfId="13574" xr:uid="{DA8037AA-4D58-491D-A5EF-A8181D9BCDDF}"/>
    <cellStyle name="Normal 4 2 2 3 2 4 4" xfId="9356" xr:uid="{5E2C62C4-E669-463F-B97C-452A8D8D0AA9}"/>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2 2 2" xfId="16132" xr:uid="{A340E1FE-E2E8-486C-80B3-6102E938ACC5}"/>
    <cellStyle name="Normal 4 2 2 3 2 5 2 3" xfId="11914" xr:uid="{E87834AB-4327-4105-B217-CB153818EBC9}"/>
    <cellStyle name="Normal 4 2 2 3 2 5 3" xfId="5545" xr:uid="{00000000-0005-0000-0000-000038120000}"/>
    <cellStyle name="Normal 4 2 2 3 2 5 3 2" xfId="13987" xr:uid="{B000D022-9C03-4F0D-95FB-3FE8E521E35A}"/>
    <cellStyle name="Normal 4 2 2 3 2 5 4" xfId="9769" xr:uid="{5EDC0022-FE41-4759-8966-3C69EEDF6D27}"/>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2 2 2" xfId="16545" xr:uid="{C982727E-2CC7-401C-848E-227083B4534C}"/>
    <cellStyle name="Normal 4 2 2 3 2 6 2 3" xfId="12327" xr:uid="{8D31B8A3-CFA3-48B3-8BC1-80216D143FAD}"/>
    <cellStyle name="Normal 4 2 2 3 2 6 3" xfId="5958" xr:uid="{00000000-0005-0000-0000-00003C120000}"/>
    <cellStyle name="Normal 4 2 2 3 2 6 3 2" xfId="14400" xr:uid="{A3EEE360-BC36-4703-A8CC-21DA3CA97CFA}"/>
    <cellStyle name="Normal 4 2 2 3 2 6 4" xfId="10182" xr:uid="{7658F4C0-6E67-48BC-BDFD-34909B3560D4}"/>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2 2 2" xfId="16958" xr:uid="{0F52C5FD-2442-4DC9-BDC1-ED8930D069C2}"/>
    <cellStyle name="Normal 4 2 2 3 2 7 2 3" xfId="12740" xr:uid="{6EBEF227-BB7F-4C57-895C-48996F630F00}"/>
    <cellStyle name="Normal 4 2 2 3 2 7 3" xfId="6371" xr:uid="{00000000-0005-0000-0000-000040120000}"/>
    <cellStyle name="Normal 4 2 2 3 2 7 3 2" xfId="14813" xr:uid="{792964AC-34C4-4983-BC99-838A10335B8F}"/>
    <cellStyle name="Normal 4 2 2 3 2 7 4" xfId="10595" xr:uid="{061B921C-1203-44DF-82A9-985A92C5A180}"/>
    <cellStyle name="Normal 4 2 2 3 2 8" xfId="2500" xr:uid="{00000000-0005-0000-0000-000041120000}"/>
    <cellStyle name="Normal 4 2 2 3 2 8 2" xfId="6784" xr:uid="{00000000-0005-0000-0000-000042120000}"/>
    <cellStyle name="Normal 4 2 2 3 2 8 2 2" xfId="15226" xr:uid="{AED07813-4DA0-4748-AE52-E0C5F55C09A2}"/>
    <cellStyle name="Normal 4 2 2 3 2 8 3" xfId="11008" xr:uid="{B8BDBE0C-8882-4F19-A635-E20C3DF2170D}"/>
    <cellStyle name="Normal 4 2 2 3 2 9" xfId="4719" xr:uid="{00000000-0005-0000-0000-000043120000}"/>
    <cellStyle name="Normal 4 2 2 3 2 9 2" xfId="13161" xr:uid="{FC833867-95FB-4F8A-86C7-5C8B779B1858}"/>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2 2 2" xfId="15724" xr:uid="{8FCCB827-42FA-414B-B3FD-01AB7130696E}"/>
    <cellStyle name="Normal 4 2 2 3 3 2 2 2 3" xfId="11506" xr:uid="{74D7C110-98F4-43D7-AC14-AB7D81AD0579}"/>
    <cellStyle name="Normal 4 2 2 3 3 2 2 3" xfId="5137" xr:uid="{00000000-0005-0000-0000-000049120000}"/>
    <cellStyle name="Normal 4 2 2 3 3 2 2 3 2" xfId="13579" xr:uid="{D10C1A48-B3EE-43B8-BF41-E44E8CB4468A}"/>
    <cellStyle name="Normal 4 2 2 3 3 2 2 4" xfId="9361" xr:uid="{175D0814-C571-4D4A-8AB4-BCA60F75A217}"/>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2 2 2" xfId="16137" xr:uid="{A230C2F3-60F0-4D77-995C-791D9783ED2B}"/>
    <cellStyle name="Normal 4 2 2 3 3 2 3 2 3" xfId="11919" xr:uid="{539F1F01-B426-449A-BCB4-EF6C633015AA}"/>
    <cellStyle name="Normal 4 2 2 3 3 2 3 3" xfId="5550" xr:uid="{00000000-0005-0000-0000-00004D120000}"/>
    <cellStyle name="Normal 4 2 2 3 3 2 3 3 2" xfId="13992" xr:uid="{572C43EA-DB83-48B3-A7E3-A0A71E20C08A}"/>
    <cellStyle name="Normal 4 2 2 3 3 2 3 4" xfId="9774" xr:uid="{B44655A1-A820-4D8D-896F-85C52390A84E}"/>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2 2 2" xfId="16550" xr:uid="{C61924B0-D51B-48F8-A287-74F78AAE34ED}"/>
    <cellStyle name="Normal 4 2 2 3 3 2 4 2 3" xfId="12332" xr:uid="{E86C9016-CEE6-4B47-8E40-FFDBD55C798B}"/>
    <cellStyle name="Normal 4 2 2 3 3 2 4 3" xfId="5963" xr:uid="{00000000-0005-0000-0000-000051120000}"/>
    <cellStyle name="Normal 4 2 2 3 3 2 4 3 2" xfId="14405" xr:uid="{3F02F1E3-53A2-4C26-8B68-DA6C4045F423}"/>
    <cellStyle name="Normal 4 2 2 3 3 2 4 4" xfId="10187" xr:uid="{B4ECB264-6484-4902-9A60-F20902AD9FDF}"/>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2 2 2" xfId="16963" xr:uid="{D34FD5E1-A6E6-4EB2-9960-E2C5E7465C97}"/>
    <cellStyle name="Normal 4 2 2 3 3 2 5 2 3" xfId="12745" xr:uid="{03BB81BC-B20F-4E4A-AA2A-E12D056D8876}"/>
    <cellStyle name="Normal 4 2 2 3 3 2 5 3" xfId="6376" xr:uid="{00000000-0005-0000-0000-000055120000}"/>
    <cellStyle name="Normal 4 2 2 3 3 2 5 3 2" xfId="14818" xr:uid="{31E62E8E-21D7-4C25-B402-6AA9104A7750}"/>
    <cellStyle name="Normal 4 2 2 3 3 2 5 4" xfId="10600" xr:uid="{BDC72BB3-0185-47AF-B030-13DB11C96E1A}"/>
    <cellStyle name="Normal 4 2 2 3 3 2 6" xfId="2505" xr:uid="{00000000-0005-0000-0000-000056120000}"/>
    <cellStyle name="Normal 4 2 2 3 3 2 6 2" xfId="6789" xr:uid="{00000000-0005-0000-0000-000057120000}"/>
    <cellStyle name="Normal 4 2 2 3 3 2 6 2 2" xfId="15231" xr:uid="{BCEE0046-CC69-4599-A8D1-04D20263A98F}"/>
    <cellStyle name="Normal 4 2 2 3 3 2 6 3" xfId="11013" xr:uid="{E4542A17-1914-4CB5-8DC9-DF01FEAF339D}"/>
    <cellStyle name="Normal 4 2 2 3 3 2 7" xfId="4724" xr:uid="{00000000-0005-0000-0000-000058120000}"/>
    <cellStyle name="Normal 4 2 2 3 3 2 7 2" xfId="13166" xr:uid="{4AD0E431-F0DF-432B-8F0F-54C5FC3FE660}"/>
    <cellStyle name="Normal 4 2 2 3 3 2 8" xfId="8948" xr:uid="{166E50A6-6C99-46A2-B1C7-D0CEF89385FA}"/>
    <cellStyle name="Normal 4 2 2 3 3 3" xfId="821" xr:uid="{00000000-0005-0000-0000-000059120000}"/>
    <cellStyle name="Normal 4 2 2 3 3 3 2" xfId="3058" xr:uid="{00000000-0005-0000-0000-00005A120000}"/>
    <cellStyle name="Normal 4 2 2 3 3 3 2 2" xfId="7281" xr:uid="{00000000-0005-0000-0000-00005B120000}"/>
    <cellStyle name="Normal 4 2 2 3 3 3 2 2 2" xfId="15723" xr:uid="{A82846E4-70E6-4ECE-80FE-0C60FCD954E2}"/>
    <cellStyle name="Normal 4 2 2 3 3 3 2 3" xfId="11505" xr:uid="{1A569C86-F89B-4974-B159-0E628E6D7A55}"/>
    <cellStyle name="Normal 4 2 2 3 3 3 3" xfId="5136" xr:uid="{00000000-0005-0000-0000-00005C120000}"/>
    <cellStyle name="Normal 4 2 2 3 3 3 3 2" xfId="13578" xr:uid="{919C79F2-6B71-4255-A16E-BF7600190830}"/>
    <cellStyle name="Normal 4 2 2 3 3 3 4" xfId="9360" xr:uid="{833F085D-A655-4572-8F3D-F26EB9023DB9}"/>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2 2 2" xfId="16136" xr:uid="{D3AC25EF-139B-488A-A52A-E5F64160E7EA}"/>
    <cellStyle name="Normal 4 2 2 3 3 4 2 3" xfId="11918" xr:uid="{A5E444C2-DBB0-4C17-924F-641E48952B0D}"/>
    <cellStyle name="Normal 4 2 2 3 3 4 3" xfId="5549" xr:uid="{00000000-0005-0000-0000-000060120000}"/>
    <cellStyle name="Normal 4 2 2 3 3 4 3 2" xfId="13991" xr:uid="{16994932-548D-4A6B-B92E-9BE89846C18F}"/>
    <cellStyle name="Normal 4 2 2 3 3 4 4" xfId="9773" xr:uid="{C3902789-7DF7-4E57-B8D4-8C57B2C8C94A}"/>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2 2 2" xfId="16549" xr:uid="{5D1805C3-46E9-4A72-91F5-B9139DD82834}"/>
    <cellStyle name="Normal 4 2 2 3 3 5 2 3" xfId="12331" xr:uid="{442A735C-C6EA-430B-BA2E-1841F256BF50}"/>
    <cellStyle name="Normal 4 2 2 3 3 5 3" xfId="5962" xr:uid="{00000000-0005-0000-0000-000064120000}"/>
    <cellStyle name="Normal 4 2 2 3 3 5 3 2" xfId="14404" xr:uid="{F8297943-B925-45D0-84F8-7DD124AC91A7}"/>
    <cellStyle name="Normal 4 2 2 3 3 5 4" xfId="10186" xr:uid="{D146666C-7F51-4E3C-9A9C-5CFBB6BCBC27}"/>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2 2 2" xfId="16962" xr:uid="{19B20454-9630-466A-8EF1-A38630725C9A}"/>
    <cellStyle name="Normal 4 2 2 3 3 6 2 3" xfId="12744" xr:uid="{D6DB90B3-0637-490E-8B4A-79F71CC39DFC}"/>
    <cellStyle name="Normal 4 2 2 3 3 6 3" xfId="6375" xr:uid="{00000000-0005-0000-0000-000068120000}"/>
    <cellStyle name="Normal 4 2 2 3 3 6 3 2" xfId="14817" xr:uid="{F6FCF6D0-37DC-4368-8A86-7EC45974498A}"/>
    <cellStyle name="Normal 4 2 2 3 3 6 4" xfId="10599" xr:uid="{3BE11498-6AD5-42EE-A5B5-1096A4FED4D0}"/>
    <cellStyle name="Normal 4 2 2 3 3 7" xfId="2504" xr:uid="{00000000-0005-0000-0000-000069120000}"/>
    <cellStyle name="Normal 4 2 2 3 3 7 2" xfId="6788" xr:uid="{00000000-0005-0000-0000-00006A120000}"/>
    <cellStyle name="Normal 4 2 2 3 3 7 2 2" xfId="15230" xr:uid="{2E89C3DD-9BBD-4E75-9021-5217FB00332F}"/>
    <cellStyle name="Normal 4 2 2 3 3 7 3" xfId="11012" xr:uid="{961104F7-2D5B-4954-B3C1-A1EBFEBE0F2A}"/>
    <cellStyle name="Normal 4 2 2 3 3 8" xfId="4723" xr:uid="{00000000-0005-0000-0000-00006B120000}"/>
    <cellStyle name="Normal 4 2 2 3 3 8 2" xfId="13165" xr:uid="{E4E20D3D-EBDF-44B8-B17F-A151E008B8F8}"/>
    <cellStyle name="Normal 4 2 2 3 3 9" xfId="8947" xr:uid="{72AC6265-082C-4CA3-8D7B-0D3C45B8A991}"/>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2 2 2" xfId="15725" xr:uid="{D7BCEB7F-B57D-40B0-858B-5893DE2CF2D5}"/>
    <cellStyle name="Normal 4 2 2 3 4 2 2 3" xfId="11507" xr:uid="{EDD16C2D-CE0C-4DB0-969F-A7F372D38875}"/>
    <cellStyle name="Normal 4 2 2 3 4 2 3" xfId="5138" xr:uid="{00000000-0005-0000-0000-000070120000}"/>
    <cellStyle name="Normal 4 2 2 3 4 2 3 2" xfId="13580" xr:uid="{5570C860-D14C-4CCC-92C6-53414A933D99}"/>
    <cellStyle name="Normal 4 2 2 3 4 2 4" xfId="9362" xr:uid="{450065B0-5696-4DAF-BD67-F7FBFBD9F043}"/>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2 2 2" xfId="16138" xr:uid="{58AA5FF4-81D6-4733-B3BC-6C41058BD09E}"/>
    <cellStyle name="Normal 4 2 2 3 4 3 2 3" xfId="11920" xr:uid="{4908A067-F716-444C-82F0-8BFE32712261}"/>
    <cellStyle name="Normal 4 2 2 3 4 3 3" xfId="5551" xr:uid="{00000000-0005-0000-0000-000074120000}"/>
    <cellStyle name="Normal 4 2 2 3 4 3 3 2" xfId="13993" xr:uid="{E5E79527-4FC0-45D6-980E-67096DF6A908}"/>
    <cellStyle name="Normal 4 2 2 3 4 3 4" xfId="9775" xr:uid="{3DAAFB08-725E-466E-953C-EF1CEFAFBBD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2 2 2" xfId="16551" xr:uid="{16D54790-8FD1-4AF5-8573-EB8462FB3BF1}"/>
    <cellStyle name="Normal 4 2 2 3 4 4 2 3" xfId="12333" xr:uid="{F4ED2563-7B35-4D17-96DF-027D98A8E873}"/>
    <cellStyle name="Normal 4 2 2 3 4 4 3" xfId="5964" xr:uid="{00000000-0005-0000-0000-000078120000}"/>
    <cellStyle name="Normal 4 2 2 3 4 4 3 2" xfId="14406" xr:uid="{D54A982A-0892-4790-8E9B-FCAA3F85F7CC}"/>
    <cellStyle name="Normal 4 2 2 3 4 4 4" xfId="10188" xr:uid="{50156992-1641-4142-9475-8976B67ACBFC}"/>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2 2 2" xfId="16964" xr:uid="{40FD18BF-40D3-4074-874A-664694B49108}"/>
    <cellStyle name="Normal 4 2 2 3 4 5 2 3" xfId="12746" xr:uid="{DC4C12B4-6206-4A09-95AD-5F51BF1FB3D4}"/>
    <cellStyle name="Normal 4 2 2 3 4 5 3" xfId="6377" xr:uid="{00000000-0005-0000-0000-00007C120000}"/>
    <cellStyle name="Normal 4 2 2 3 4 5 3 2" xfId="14819" xr:uid="{DE57BB8C-E1D0-4DEF-966C-FDB47CB74C00}"/>
    <cellStyle name="Normal 4 2 2 3 4 5 4" xfId="10601" xr:uid="{564D8195-6951-42EB-9E68-8422127F98CB}"/>
    <cellStyle name="Normal 4 2 2 3 4 6" xfId="2506" xr:uid="{00000000-0005-0000-0000-00007D120000}"/>
    <cellStyle name="Normal 4 2 2 3 4 6 2" xfId="6790" xr:uid="{00000000-0005-0000-0000-00007E120000}"/>
    <cellStyle name="Normal 4 2 2 3 4 6 2 2" xfId="15232" xr:uid="{F413967C-B5E5-4A3F-A1D9-580FDD0395EB}"/>
    <cellStyle name="Normal 4 2 2 3 4 6 3" xfId="11014" xr:uid="{598AACF7-11F9-4700-91C6-1B8DC7011DDC}"/>
    <cellStyle name="Normal 4 2 2 3 4 7" xfId="4725" xr:uid="{00000000-0005-0000-0000-00007F120000}"/>
    <cellStyle name="Normal 4 2 2 3 4 7 2" xfId="13167" xr:uid="{F69AB731-562E-4B62-BAAB-DBEB91491837}"/>
    <cellStyle name="Normal 4 2 2 3 4 8" xfId="8949" xr:uid="{9572B6BC-B3F8-4219-B781-63C8AB009BBB}"/>
    <cellStyle name="Normal 4 2 2 3 5" xfId="816" xr:uid="{00000000-0005-0000-0000-000080120000}"/>
    <cellStyle name="Normal 4 2 2 3 5 2" xfId="3053" xr:uid="{00000000-0005-0000-0000-000081120000}"/>
    <cellStyle name="Normal 4 2 2 3 5 2 2" xfId="7276" xr:uid="{00000000-0005-0000-0000-000082120000}"/>
    <cellStyle name="Normal 4 2 2 3 5 2 2 2" xfId="15718" xr:uid="{E09A0CB7-4023-4F43-AE57-D3F1218C349F}"/>
    <cellStyle name="Normal 4 2 2 3 5 2 3" xfId="11500" xr:uid="{4C212B3F-F8CA-406C-801E-3F51AD5528E9}"/>
    <cellStyle name="Normal 4 2 2 3 5 3" xfId="5131" xr:uid="{00000000-0005-0000-0000-000083120000}"/>
    <cellStyle name="Normal 4 2 2 3 5 3 2" xfId="13573" xr:uid="{6A2B400B-ED98-4CF1-B5CB-778F16B59C49}"/>
    <cellStyle name="Normal 4 2 2 3 5 4" xfId="9355" xr:uid="{D7A04011-4634-4854-B0D1-A83741020D53}"/>
    <cellStyle name="Normal 4 2 2 3 6" xfId="1236" xr:uid="{00000000-0005-0000-0000-000084120000}"/>
    <cellStyle name="Normal 4 2 2 3 6 2" xfId="3466" xr:uid="{00000000-0005-0000-0000-000085120000}"/>
    <cellStyle name="Normal 4 2 2 3 6 2 2" xfId="7689" xr:uid="{00000000-0005-0000-0000-000086120000}"/>
    <cellStyle name="Normal 4 2 2 3 6 2 2 2" xfId="16131" xr:uid="{7906F388-3E73-4135-8F6A-A66FC0EE6417}"/>
    <cellStyle name="Normal 4 2 2 3 6 2 3" xfId="11913" xr:uid="{7EFCFCA9-7FEE-46CA-9FE1-08DBC5CC0C1C}"/>
    <cellStyle name="Normal 4 2 2 3 6 3" xfId="5544" xr:uid="{00000000-0005-0000-0000-000087120000}"/>
    <cellStyle name="Normal 4 2 2 3 6 3 2" xfId="13986" xr:uid="{B7F4BAA3-3EBA-4373-95F8-91A5DCE6069B}"/>
    <cellStyle name="Normal 4 2 2 3 6 4" xfId="9768" xr:uid="{D0761C7C-C80B-4AE2-A80D-09898BA59139}"/>
    <cellStyle name="Normal 4 2 2 3 7" xfId="1649" xr:uid="{00000000-0005-0000-0000-000088120000}"/>
    <cellStyle name="Normal 4 2 2 3 7 2" xfId="3879" xr:uid="{00000000-0005-0000-0000-000089120000}"/>
    <cellStyle name="Normal 4 2 2 3 7 2 2" xfId="8102" xr:uid="{00000000-0005-0000-0000-00008A120000}"/>
    <cellStyle name="Normal 4 2 2 3 7 2 2 2" xfId="16544" xr:uid="{4DDB69DE-FD2B-49B3-B344-E460C69DA210}"/>
    <cellStyle name="Normal 4 2 2 3 7 2 3" xfId="12326" xr:uid="{57DF8B25-CA8F-427D-9FDC-29F280301D55}"/>
    <cellStyle name="Normal 4 2 2 3 7 3" xfId="5957" xr:uid="{00000000-0005-0000-0000-00008B120000}"/>
    <cellStyle name="Normal 4 2 2 3 7 3 2" xfId="14399" xr:uid="{F385148F-2722-4DCF-8442-5D9187E303C7}"/>
    <cellStyle name="Normal 4 2 2 3 7 4" xfId="10181" xr:uid="{B4AC2EC9-1AD0-4167-93A9-9E248F003786}"/>
    <cellStyle name="Normal 4 2 2 3 8" xfId="2063" xr:uid="{00000000-0005-0000-0000-00008C120000}"/>
    <cellStyle name="Normal 4 2 2 3 8 2" xfId="4292" xr:uid="{00000000-0005-0000-0000-00008D120000}"/>
    <cellStyle name="Normal 4 2 2 3 8 2 2" xfId="8515" xr:uid="{00000000-0005-0000-0000-00008E120000}"/>
    <cellStyle name="Normal 4 2 2 3 8 2 2 2" xfId="16957" xr:uid="{29233671-B4B2-4B53-B5FB-E03628F1C6F9}"/>
    <cellStyle name="Normal 4 2 2 3 8 2 3" xfId="12739" xr:uid="{C872518A-8DA6-497B-8C3B-843D4FDB3BEA}"/>
    <cellStyle name="Normal 4 2 2 3 8 3" xfId="6370" xr:uid="{00000000-0005-0000-0000-00008F120000}"/>
    <cellStyle name="Normal 4 2 2 3 8 3 2" xfId="14812" xr:uid="{8D0E3560-DC16-49E2-AD55-B0E45A7E1B58}"/>
    <cellStyle name="Normal 4 2 2 3 8 4" xfId="10594" xr:uid="{5A7766EA-EA04-4FAF-8FBB-94E37C06F15F}"/>
    <cellStyle name="Normal 4 2 2 3 9" xfId="2499" xr:uid="{00000000-0005-0000-0000-000090120000}"/>
    <cellStyle name="Normal 4 2 2 3 9 2" xfId="6783" xr:uid="{00000000-0005-0000-0000-000091120000}"/>
    <cellStyle name="Normal 4 2 2 3 9 2 2" xfId="15225" xr:uid="{B4FF32E1-6F8A-495C-A826-E7A8CC576DEC}"/>
    <cellStyle name="Normal 4 2 2 3 9 3" xfId="11007" xr:uid="{F2F32E8B-19B9-4951-8EE5-B773E0A54444}"/>
    <cellStyle name="Normal 4 2 2 4" xfId="347" xr:uid="{00000000-0005-0000-0000-000092120000}"/>
    <cellStyle name="Normal 4 2 2 4 10" xfId="8950" xr:uid="{F0AA1BAE-8603-4665-ABC7-7977B7A14B24}"/>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2 2 2" xfId="15728" xr:uid="{CB980E89-7581-42D0-8085-9A71D25EBBAC}"/>
    <cellStyle name="Normal 4 2 2 4 2 2 2 2 3" xfId="11510" xr:uid="{BB6213CF-340C-4039-85DA-3374D8657C62}"/>
    <cellStyle name="Normal 4 2 2 4 2 2 2 3" xfId="5141" xr:uid="{00000000-0005-0000-0000-000098120000}"/>
    <cellStyle name="Normal 4 2 2 4 2 2 2 3 2" xfId="13583" xr:uid="{4DF205E7-D20E-469C-B688-828C0160FE63}"/>
    <cellStyle name="Normal 4 2 2 4 2 2 2 4" xfId="9365" xr:uid="{9DBC777E-B718-4257-957A-FB375DE6E69B}"/>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2 2 2" xfId="16141" xr:uid="{1F8A1353-8A9C-46AE-BA18-5B29D92CC059}"/>
    <cellStyle name="Normal 4 2 2 4 2 2 3 2 3" xfId="11923" xr:uid="{479FFBD0-5CCA-4A0D-AB58-A23566F04787}"/>
    <cellStyle name="Normal 4 2 2 4 2 2 3 3" xfId="5554" xr:uid="{00000000-0005-0000-0000-00009C120000}"/>
    <cellStyle name="Normal 4 2 2 4 2 2 3 3 2" xfId="13996" xr:uid="{336D4B7C-D13B-4F03-A93B-42E5338BAE13}"/>
    <cellStyle name="Normal 4 2 2 4 2 2 3 4" xfId="9778" xr:uid="{EACA214C-E77B-4524-A923-5588088451D2}"/>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2 2 2" xfId="16554" xr:uid="{4BED1C6C-FFA8-4CAD-BCAA-C0204F791B68}"/>
    <cellStyle name="Normal 4 2 2 4 2 2 4 2 3" xfId="12336" xr:uid="{6E877285-54AE-4C44-9E37-1E409E643DF0}"/>
    <cellStyle name="Normal 4 2 2 4 2 2 4 3" xfId="5967" xr:uid="{00000000-0005-0000-0000-0000A0120000}"/>
    <cellStyle name="Normal 4 2 2 4 2 2 4 3 2" xfId="14409" xr:uid="{4E4261A8-F71A-4DC4-83D3-15152A4F8486}"/>
    <cellStyle name="Normal 4 2 2 4 2 2 4 4" xfId="10191" xr:uid="{8245661F-22E0-49F0-B86C-FAAD78596A59}"/>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2 2 2" xfId="16967" xr:uid="{55ED2295-695B-4B94-B0E6-E785A4C64854}"/>
    <cellStyle name="Normal 4 2 2 4 2 2 5 2 3" xfId="12749" xr:uid="{4E60C885-0500-44C3-945E-24AD87B6D4E5}"/>
    <cellStyle name="Normal 4 2 2 4 2 2 5 3" xfId="6380" xr:uid="{00000000-0005-0000-0000-0000A4120000}"/>
    <cellStyle name="Normal 4 2 2 4 2 2 5 3 2" xfId="14822" xr:uid="{C8275EF9-24AF-454A-8849-0C3AD1D87C12}"/>
    <cellStyle name="Normal 4 2 2 4 2 2 5 4" xfId="10604" xr:uid="{B0858132-B0BF-4C19-8865-C318DCDCE559}"/>
    <cellStyle name="Normal 4 2 2 4 2 2 6" xfId="2509" xr:uid="{00000000-0005-0000-0000-0000A5120000}"/>
    <cellStyle name="Normal 4 2 2 4 2 2 6 2" xfId="6793" xr:uid="{00000000-0005-0000-0000-0000A6120000}"/>
    <cellStyle name="Normal 4 2 2 4 2 2 6 2 2" xfId="15235" xr:uid="{BBC1E3DD-34F5-4117-BA89-7689819A3E3F}"/>
    <cellStyle name="Normal 4 2 2 4 2 2 6 3" xfId="11017" xr:uid="{1CC3CEA1-1413-40C1-9520-F6B6A1FB7B7C}"/>
    <cellStyle name="Normal 4 2 2 4 2 2 7" xfId="4728" xr:uid="{00000000-0005-0000-0000-0000A7120000}"/>
    <cellStyle name="Normal 4 2 2 4 2 2 7 2" xfId="13170" xr:uid="{4B2F3659-E60B-4A2F-8210-E6A836262A09}"/>
    <cellStyle name="Normal 4 2 2 4 2 2 8" xfId="8952" xr:uid="{7C4EE9A0-5847-42F9-836A-6A9878760481}"/>
    <cellStyle name="Normal 4 2 2 4 2 3" xfId="825" xr:uid="{00000000-0005-0000-0000-0000A8120000}"/>
    <cellStyle name="Normal 4 2 2 4 2 3 2" xfId="3062" xr:uid="{00000000-0005-0000-0000-0000A9120000}"/>
    <cellStyle name="Normal 4 2 2 4 2 3 2 2" xfId="7285" xr:uid="{00000000-0005-0000-0000-0000AA120000}"/>
    <cellStyle name="Normal 4 2 2 4 2 3 2 2 2" xfId="15727" xr:uid="{C79E93F7-7631-435E-AB03-2BBD310DE0C3}"/>
    <cellStyle name="Normal 4 2 2 4 2 3 2 3" xfId="11509" xr:uid="{3B7CCF2F-EA85-4BF7-B69F-DF95408BB2AD}"/>
    <cellStyle name="Normal 4 2 2 4 2 3 3" xfId="5140" xr:uid="{00000000-0005-0000-0000-0000AB120000}"/>
    <cellStyle name="Normal 4 2 2 4 2 3 3 2" xfId="13582" xr:uid="{980D48D1-D186-4888-A929-A7153B880632}"/>
    <cellStyle name="Normal 4 2 2 4 2 3 4" xfId="9364" xr:uid="{D5E0F073-8D95-4CFD-8F2F-87D89261C048}"/>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2 2 2" xfId="16140" xr:uid="{0B325360-4120-46B2-AC8B-A5ACB95F4BDA}"/>
    <cellStyle name="Normal 4 2 2 4 2 4 2 3" xfId="11922" xr:uid="{89C2D80D-4901-4363-9BD7-5073194635A7}"/>
    <cellStyle name="Normal 4 2 2 4 2 4 3" xfId="5553" xr:uid="{00000000-0005-0000-0000-0000AF120000}"/>
    <cellStyle name="Normal 4 2 2 4 2 4 3 2" xfId="13995" xr:uid="{3DAB53DF-71EE-4041-A751-194B7D24A08D}"/>
    <cellStyle name="Normal 4 2 2 4 2 4 4" xfId="9777" xr:uid="{0EF75353-E258-4C46-8384-A40ADB4BF515}"/>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2 2 2" xfId="16553" xr:uid="{92FE1EAE-ED0E-4E10-ABB0-789672C95C39}"/>
    <cellStyle name="Normal 4 2 2 4 2 5 2 3" xfId="12335" xr:uid="{0A1120CA-CFAD-456A-B839-99E31B0992E2}"/>
    <cellStyle name="Normal 4 2 2 4 2 5 3" xfId="5966" xr:uid="{00000000-0005-0000-0000-0000B3120000}"/>
    <cellStyle name="Normal 4 2 2 4 2 5 3 2" xfId="14408" xr:uid="{FF066443-ED7D-412F-A680-F2E3AC55DE59}"/>
    <cellStyle name="Normal 4 2 2 4 2 5 4" xfId="10190" xr:uid="{DDD9637B-4AC6-47D6-8ECD-090A165A12FF}"/>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2 2 2" xfId="16966" xr:uid="{E2A7495D-C7D2-4AFC-9C02-F1286B985C75}"/>
    <cellStyle name="Normal 4 2 2 4 2 6 2 3" xfId="12748" xr:uid="{D99F2C42-0424-4521-9193-F973BA73B960}"/>
    <cellStyle name="Normal 4 2 2 4 2 6 3" xfId="6379" xr:uid="{00000000-0005-0000-0000-0000B7120000}"/>
    <cellStyle name="Normal 4 2 2 4 2 6 3 2" xfId="14821" xr:uid="{4AE85055-6264-4247-9414-CE012921E211}"/>
    <cellStyle name="Normal 4 2 2 4 2 6 4" xfId="10603" xr:uid="{32A77444-11F6-4507-9E61-E809B70FF636}"/>
    <cellStyle name="Normal 4 2 2 4 2 7" xfId="2508" xr:uid="{00000000-0005-0000-0000-0000B8120000}"/>
    <cellStyle name="Normal 4 2 2 4 2 7 2" xfId="6792" xr:uid="{00000000-0005-0000-0000-0000B9120000}"/>
    <cellStyle name="Normal 4 2 2 4 2 7 2 2" xfId="15234" xr:uid="{57BE73C0-D077-4799-BBD5-7FD62414EAAA}"/>
    <cellStyle name="Normal 4 2 2 4 2 7 3" xfId="11016" xr:uid="{3CC4519D-AA1F-43CD-81FF-D976460284B1}"/>
    <cellStyle name="Normal 4 2 2 4 2 8" xfId="4727" xr:uid="{00000000-0005-0000-0000-0000BA120000}"/>
    <cellStyle name="Normal 4 2 2 4 2 8 2" xfId="13169" xr:uid="{E5A04BA5-F650-4445-9BE2-7AFCD31D7301}"/>
    <cellStyle name="Normal 4 2 2 4 2 9" xfId="8951" xr:uid="{9371F000-3C58-4BDF-BCA6-279AE1CEA2E6}"/>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2 2 2" xfId="15729" xr:uid="{27B2A6D8-3374-403F-ABE7-B9962C0F1D7C}"/>
    <cellStyle name="Normal 4 2 2 4 3 2 2 3" xfId="11511" xr:uid="{ADC7A227-C2D8-4EF8-BB43-49B7380535F6}"/>
    <cellStyle name="Normal 4 2 2 4 3 2 3" xfId="5142" xr:uid="{00000000-0005-0000-0000-0000BF120000}"/>
    <cellStyle name="Normal 4 2 2 4 3 2 3 2" xfId="13584" xr:uid="{DE245F3D-239C-4B16-A602-8A55350E1297}"/>
    <cellStyle name="Normal 4 2 2 4 3 2 4" xfId="9366" xr:uid="{617EBC9D-70D4-483C-A745-DB3B64E6FD59}"/>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2 2 2" xfId="16142" xr:uid="{5AE80D74-05A9-455B-9051-AEF870FCE9A8}"/>
    <cellStyle name="Normal 4 2 2 4 3 3 2 3" xfId="11924" xr:uid="{7C72B9B1-D624-41F0-A7B5-FA617FB8CD91}"/>
    <cellStyle name="Normal 4 2 2 4 3 3 3" xfId="5555" xr:uid="{00000000-0005-0000-0000-0000C3120000}"/>
    <cellStyle name="Normal 4 2 2 4 3 3 3 2" xfId="13997" xr:uid="{A15AF33B-6C64-48EB-95CB-251232221B2F}"/>
    <cellStyle name="Normal 4 2 2 4 3 3 4" xfId="9779" xr:uid="{45E37006-BDD5-47FD-A244-1E012BFEAE0F}"/>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2 2 2" xfId="16555" xr:uid="{2CBD94FC-1A14-447D-9BB8-3478390E37F5}"/>
    <cellStyle name="Normal 4 2 2 4 3 4 2 3" xfId="12337" xr:uid="{C535E3F6-1081-420F-BA03-41BED4647199}"/>
    <cellStyle name="Normal 4 2 2 4 3 4 3" xfId="5968" xr:uid="{00000000-0005-0000-0000-0000C7120000}"/>
    <cellStyle name="Normal 4 2 2 4 3 4 3 2" xfId="14410" xr:uid="{83036ED4-6F76-4892-9D4C-29128A8EF4AA}"/>
    <cellStyle name="Normal 4 2 2 4 3 4 4" xfId="10192" xr:uid="{661F79A6-3A74-4A20-8E9D-3C14225F7755}"/>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2 2 2" xfId="16968" xr:uid="{99B1068B-B948-4843-9E2C-22168315EC7F}"/>
    <cellStyle name="Normal 4 2 2 4 3 5 2 3" xfId="12750" xr:uid="{B2FC6803-7FA6-4741-B0A1-4C833A927258}"/>
    <cellStyle name="Normal 4 2 2 4 3 5 3" xfId="6381" xr:uid="{00000000-0005-0000-0000-0000CB120000}"/>
    <cellStyle name="Normal 4 2 2 4 3 5 3 2" xfId="14823" xr:uid="{7D118BC0-A2AB-47C6-95A2-21A34DC767E4}"/>
    <cellStyle name="Normal 4 2 2 4 3 5 4" xfId="10605" xr:uid="{2AE8B840-39DF-47B0-9055-A323BEDF3630}"/>
    <cellStyle name="Normal 4 2 2 4 3 6" xfId="2510" xr:uid="{00000000-0005-0000-0000-0000CC120000}"/>
    <cellStyle name="Normal 4 2 2 4 3 6 2" xfId="6794" xr:uid="{00000000-0005-0000-0000-0000CD120000}"/>
    <cellStyle name="Normal 4 2 2 4 3 6 2 2" xfId="15236" xr:uid="{1BEF4617-3F2C-4ADA-8B33-28F834A6C2FB}"/>
    <cellStyle name="Normal 4 2 2 4 3 6 3" xfId="11018" xr:uid="{488CF5F2-2664-415B-9480-0D0A0D70E944}"/>
    <cellStyle name="Normal 4 2 2 4 3 7" xfId="4729" xr:uid="{00000000-0005-0000-0000-0000CE120000}"/>
    <cellStyle name="Normal 4 2 2 4 3 7 2" xfId="13171" xr:uid="{44ACC9DF-C6B8-478F-AB88-9747903C3D8F}"/>
    <cellStyle name="Normal 4 2 2 4 3 8" xfId="8953" xr:uid="{7D291B25-69A3-4F73-82CB-7516C2D52FAB}"/>
    <cellStyle name="Normal 4 2 2 4 4" xfId="824" xr:uid="{00000000-0005-0000-0000-0000CF120000}"/>
    <cellStyle name="Normal 4 2 2 4 4 2" xfId="3061" xr:uid="{00000000-0005-0000-0000-0000D0120000}"/>
    <cellStyle name="Normal 4 2 2 4 4 2 2" xfId="7284" xr:uid="{00000000-0005-0000-0000-0000D1120000}"/>
    <cellStyle name="Normal 4 2 2 4 4 2 2 2" xfId="15726" xr:uid="{D6090C01-21A0-4CA2-86E0-02A4EA2AB198}"/>
    <cellStyle name="Normal 4 2 2 4 4 2 3" xfId="11508" xr:uid="{D2556084-A04A-4CEF-A627-B56F096922FB}"/>
    <cellStyle name="Normal 4 2 2 4 4 3" xfId="5139" xr:uid="{00000000-0005-0000-0000-0000D2120000}"/>
    <cellStyle name="Normal 4 2 2 4 4 3 2" xfId="13581" xr:uid="{10C11DE2-A6DC-4733-8BFF-53EA4301BA63}"/>
    <cellStyle name="Normal 4 2 2 4 4 4" xfId="9363" xr:uid="{491E88BC-E258-4628-88D9-AE388860E596}"/>
    <cellStyle name="Normal 4 2 2 4 5" xfId="1244" xr:uid="{00000000-0005-0000-0000-0000D3120000}"/>
    <cellStyle name="Normal 4 2 2 4 5 2" xfId="3474" xr:uid="{00000000-0005-0000-0000-0000D4120000}"/>
    <cellStyle name="Normal 4 2 2 4 5 2 2" xfId="7697" xr:uid="{00000000-0005-0000-0000-0000D5120000}"/>
    <cellStyle name="Normal 4 2 2 4 5 2 2 2" xfId="16139" xr:uid="{CD4C7960-4237-4BEE-B7A7-D7202BAA8A68}"/>
    <cellStyle name="Normal 4 2 2 4 5 2 3" xfId="11921" xr:uid="{B29EC380-0D42-4F4E-B116-791853D7D7F1}"/>
    <cellStyle name="Normal 4 2 2 4 5 3" xfId="5552" xr:uid="{00000000-0005-0000-0000-0000D6120000}"/>
    <cellStyle name="Normal 4 2 2 4 5 3 2" xfId="13994" xr:uid="{50F9EB1F-51D0-43B8-8E82-21357306EB94}"/>
    <cellStyle name="Normal 4 2 2 4 5 4" xfId="9776" xr:uid="{8136467E-4D9F-4A87-8F47-A776995B9598}"/>
    <cellStyle name="Normal 4 2 2 4 6" xfId="1657" xr:uid="{00000000-0005-0000-0000-0000D7120000}"/>
    <cellStyle name="Normal 4 2 2 4 6 2" xfId="3887" xr:uid="{00000000-0005-0000-0000-0000D8120000}"/>
    <cellStyle name="Normal 4 2 2 4 6 2 2" xfId="8110" xr:uid="{00000000-0005-0000-0000-0000D9120000}"/>
    <cellStyle name="Normal 4 2 2 4 6 2 2 2" xfId="16552" xr:uid="{A89BEFA2-0874-4A1C-B37E-1FE1BA2192A3}"/>
    <cellStyle name="Normal 4 2 2 4 6 2 3" xfId="12334" xr:uid="{BFD00F6A-A774-4B71-86EB-4C447FF07C50}"/>
    <cellStyle name="Normal 4 2 2 4 6 3" xfId="5965" xr:uid="{00000000-0005-0000-0000-0000DA120000}"/>
    <cellStyle name="Normal 4 2 2 4 6 3 2" xfId="14407" xr:uid="{D16C32ED-C03F-44B6-ABE5-B8DF81BC5648}"/>
    <cellStyle name="Normal 4 2 2 4 6 4" xfId="10189" xr:uid="{1D08F796-0CBF-4E1F-8A9E-C495E03818E1}"/>
    <cellStyle name="Normal 4 2 2 4 7" xfId="2071" xr:uid="{00000000-0005-0000-0000-0000DB120000}"/>
    <cellStyle name="Normal 4 2 2 4 7 2" xfId="4300" xr:uid="{00000000-0005-0000-0000-0000DC120000}"/>
    <cellStyle name="Normal 4 2 2 4 7 2 2" xfId="8523" xr:uid="{00000000-0005-0000-0000-0000DD120000}"/>
    <cellStyle name="Normal 4 2 2 4 7 2 2 2" xfId="16965" xr:uid="{692560E9-E30B-41D4-B2B2-7BDADF8DA79D}"/>
    <cellStyle name="Normal 4 2 2 4 7 2 3" xfId="12747" xr:uid="{19DBAB1D-77DF-44E2-AF9E-245EEE1AACCB}"/>
    <cellStyle name="Normal 4 2 2 4 7 3" xfId="6378" xr:uid="{00000000-0005-0000-0000-0000DE120000}"/>
    <cellStyle name="Normal 4 2 2 4 7 3 2" xfId="14820" xr:uid="{E90C7BBF-9CDD-416D-9C9B-3E01B1EA514A}"/>
    <cellStyle name="Normal 4 2 2 4 7 4" xfId="10602" xr:uid="{53946CB6-4342-4EE1-8FC8-AA9A66F90F8A}"/>
    <cellStyle name="Normal 4 2 2 4 8" xfId="2507" xr:uid="{00000000-0005-0000-0000-0000DF120000}"/>
    <cellStyle name="Normal 4 2 2 4 8 2" xfId="6791" xr:uid="{00000000-0005-0000-0000-0000E0120000}"/>
    <cellStyle name="Normal 4 2 2 4 8 2 2" xfId="15233" xr:uid="{D123913F-2843-4483-97EB-39235CC91E77}"/>
    <cellStyle name="Normal 4 2 2 4 8 3" xfId="11015" xr:uid="{977D84D6-C486-4626-9BFD-B8C619FDC71F}"/>
    <cellStyle name="Normal 4 2 2 4 9" xfId="4726" xr:uid="{00000000-0005-0000-0000-0000E1120000}"/>
    <cellStyle name="Normal 4 2 2 4 9 2" xfId="13168" xr:uid="{4E51D5C3-49B0-4EF2-81E6-509CD1E9CFB2}"/>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2 2 2" xfId="15731" xr:uid="{C29524D4-458B-462C-99E3-63ABDD3D2E44}"/>
    <cellStyle name="Normal 4 2 2 5 2 2 2 3" xfId="11513" xr:uid="{062013B3-2FEB-424D-84EA-D56CFD16D1D9}"/>
    <cellStyle name="Normal 4 2 2 5 2 2 3" xfId="5144" xr:uid="{00000000-0005-0000-0000-0000E7120000}"/>
    <cellStyle name="Normal 4 2 2 5 2 2 3 2" xfId="13586" xr:uid="{23771AC5-203E-4D92-9ECD-C5487B87D42C}"/>
    <cellStyle name="Normal 4 2 2 5 2 2 4" xfId="9368" xr:uid="{F6FB0B56-AE1D-47F3-A19E-212BA39475B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2 2 2" xfId="16144" xr:uid="{7159DE3D-6D01-4133-ADC5-EE6D595CED1A}"/>
    <cellStyle name="Normal 4 2 2 5 2 3 2 3" xfId="11926" xr:uid="{85959141-9B8A-470A-930A-E6C9638F44D0}"/>
    <cellStyle name="Normal 4 2 2 5 2 3 3" xfId="5557" xr:uid="{00000000-0005-0000-0000-0000EB120000}"/>
    <cellStyle name="Normal 4 2 2 5 2 3 3 2" xfId="13999" xr:uid="{5C5EDE3E-383C-4F4D-9DF6-6B6C177D3A81}"/>
    <cellStyle name="Normal 4 2 2 5 2 3 4" xfId="9781" xr:uid="{8A1ADF85-835B-4829-A3FD-07C94BD75912}"/>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2 2 2" xfId="16557" xr:uid="{7A0EDA2A-CE2B-4FA6-9DF3-D9DB064C85C9}"/>
    <cellStyle name="Normal 4 2 2 5 2 4 2 3" xfId="12339" xr:uid="{084F26A4-E53B-41D5-A0B5-111F3E1C85B4}"/>
    <cellStyle name="Normal 4 2 2 5 2 4 3" xfId="5970" xr:uid="{00000000-0005-0000-0000-0000EF120000}"/>
    <cellStyle name="Normal 4 2 2 5 2 4 3 2" xfId="14412" xr:uid="{CB9D4B33-0949-47E7-B990-00379F9A332A}"/>
    <cellStyle name="Normal 4 2 2 5 2 4 4" xfId="10194" xr:uid="{8BBD4703-59F7-4CF0-BB19-68F5248E4243}"/>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2 2 2" xfId="16970" xr:uid="{5312D3E3-6F07-4EB3-B033-30EA4A91B4D7}"/>
    <cellStyle name="Normal 4 2 2 5 2 5 2 3" xfId="12752" xr:uid="{AAC8115B-FFF1-4B4C-9F53-6068298DFA5F}"/>
    <cellStyle name="Normal 4 2 2 5 2 5 3" xfId="6383" xr:uid="{00000000-0005-0000-0000-0000F3120000}"/>
    <cellStyle name="Normal 4 2 2 5 2 5 3 2" xfId="14825" xr:uid="{2D68CD36-5A9F-4DC4-B981-1DB5B213AC6B}"/>
    <cellStyle name="Normal 4 2 2 5 2 5 4" xfId="10607" xr:uid="{5B3AA2B6-C289-4FA6-AE6A-D77ECC7FC206}"/>
    <cellStyle name="Normal 4 2 2 5 2 6" xfId="2512" xr:uid="{00000000-0005-0000-0000-0000F4120000}"/>
    <cellStyle name="Normal 4 2 2 5 2 6 2" xfId="6796" xr:uid="{00000000-0005-0000-0000-0000F5120000}"/>
    <cellStyle name="Normal 4 2 2 5 2 6 2 2" xfId="15238" xr:uid="{D6769691-A1FF-45C6-9C7C-7F8CBF76B663}"/>
    <cellStyle name="Normal 4 2 2 5 2 6 3" xfId="11020" xr:uid="{6DBB5588-7862-4479-929E-573B73EC9C7A}"/>
    <cellStyle name="Normal 4 2 2 5 2 7" xfId="4731" xr:uid="{00000000-0005-0000-0000-0000F6120000}"/>
    <cellStyle name="Normal 4 2 2 5 2 7 2" xfId="13173" xr:uid="{1418D3EE-A708-43AF-BAB9-DA4DCD677A75}"/>
    <cellStyle name="Normal 4 2 2 5 2 8" xfId="8955" xr:uid="{2DA90E1D-206E-43D4-B140-0ACBB37643C8}"/>
    <cellStyle name="Normal 4 2 2 5 3" xfId="828" xr:uid="{00000000-0005-0000-0000-0000F7120000}"/>
    <cellStyle name="Normal 4 2 2 5 3 2" xfId="3065" xr:uid="{00000000-0005-0000-0000-0000F8120000}"/>
    <cellStyle name="Normal 4 2 2 5 3 2 2" xfId="7288" xr:uid="{00000000-0005-0000-0000-0000F9120000}"/>
    <cellStyle name="Normal 4 2 2 5 3 2 2 2" xfId="15730" xr:uid="{286A0E94-087A-4631-AA2D-7FB717975295}"/>
    <cellStyle name="Normal 4 2 2 5 3 2 3" xfId="11512" xr:uid="{D17FA308-341D-4111-835C-F298556BF48F}"/>
    <cellStyle name="Normal 4 2 2 5 3 3" xfId="5143" xr:uid="{00000000-0005-0000-0000-0000FA120000}"/>
    <cellStyle name="Normal 4 2 2 5 3 3 2" xfId="13585" xr:uid="{FA8137E8-2ADF-4303-97BC-4F43756918B2}"/>
    <cellStyle name="Normal 4 2 2 5 3 4" xfId="9367" xr:uid="{168AD339-ADA6-484A-9511-A10A849F36B4}"/>
    <cellStyle name="Normal 4 2 2 5 4" xfId="1248" xr:uid="{00000000-0005-0000-0000-0000FB120000}"/>
    <cellStyle name="Normal 4 2 2 5 4 2" xfId="3478" xr:uid="{00000000-0005-0000-0000-0000FC120000}"/>
    <cellStyle name="Normal 4 2 2 5 4 2 2" xfId="7701" xr:uid="{00000000-0005-0000-0000-0000FD120000}"/>
    <cellStyle name="Normal 4 2 2 5 4 2 2 2" xfId="16143" xr:uid="{888685E7-D67C-44A2-B4A7-716707B73A76}"/>
    <cellStyle name="Normal 4 2 2 5 4 2 3" xfId="11925" xr:uid="{DD921369-E461-4F9D-BAC1-26D1835C8C15}"/>
    <cellStyle name="Normal 4 2 2 5 4 3" xfId="5556" xr:uid="{00000000-0005-0000-0000-0000FE120000}"/>
    <cellStyle name="Normal 4 2 2 5 4 3 2" xfId="13998" xr:uid="{AFA90DAC-905B-4110-9540-044AB4D59C06}"/>
    <cellStyle name="Normal 4 2 2 5 4 4" xfId="9780" xr:uid="{DE293BC9-7692-4C94-92F4-5447E010EC16}"/>
    <cellStyle name="Normal 4 2 2 5 5" xfId="1661" xr:uid="{00000000-0005-0000-0000-0000FF120000}"/>
    <cellStyle name="Normal 4 2 2 5 5 2" xfId="3891" xr:uid="{00000000-0005-0000-0000-000000130000}"/>
    <cellStyle name="Normal 4 2 2 5 5 2 2" xfId="8114" xr:uid="{00000000-0005-0000-0000-000001130000}"/>
    <cellStyle name="Normal 4 2 2 5 5 2 2 2" xfId="16556" xr:uid="{D043AE85-721D-4D41-8042-DA90C8311878}"/>
    <cellStyle name="Normal 4 2 2 5 5 2 3" xfId="12338" xr:uid="{831EFA75-B09A-4878-B736-8FAC0513BD47}"/>
    <cellStyle name="Normal 4 2 2 5 5 3" xfId="5969" xr:uid="{00000000-0005-0000-0000-000002130000}"/>
    <cellStyle name="Normal 4 2 2 5 5 3 2" xfId="14411" xr:uid="{668715D3-978A-4414-BECE-452104B7F6A4}"/>
    <cellStyle name="Normal 4 2 2 5 5 4" xfId="10193" xr:uid="{85C41AFA-B149-4BBC-B072-B2EE84165279}"/>
    <cellStyle name="Normal 4 2 2 5 6" xfId="2075" xr:uid="{00000000-0005-0000-0000-000003130000}"/>
    <cellStyle name="Normal 4 2 2 5 6 2" xfId="4304" xr:uid="{00000000-0005-0000-0000-000004130000}"/>
    <cellStyle name="Normal 4 2 2 5 6 2 2" xfId="8527" xr:uid="{00000000-0005-0000-0000-000005130000}"/>
    <cellStyle name="Normal 4 2 2 5 6 2 2 2" xfId="16969" xr:uid="{B32DF651-E572-4104-97C0-3F914B15AF06}"/>
    <cellStyle name="Normal 4 2 2 5 6 2 3" xfId="12751" xr:uid="{09F2281F-BC81-455A-9819-2A1B7CBCC8EA}"/>
    <cellStyle name="Normal 4 2 2 5 6 3" xfId="6382" xr:uid="{00000000-0005-0000-0000-000006130000}"/>
    <cellStyle name="Normal 4 2 2 5 6 3 2" xfId="14824" xr:uid="{FA620A5C-0EDD-4C61-B6BE-95E5CDE4EFAC}"/>
    <cellStyle name="Normal 4 2 2 5 6 4" xfId="10606" xr:uid="{3C1AD067-5C2C-42D4-967C-A22A25132614}"/>
    <cellStyle name="Normal 4 2 2 5 7" xfId="2511" xr:uid="{00000000-0005-0000-0000-000007130000}"/>
    <cellStyle name="Normal 4 2 2 5 7 2" xfId="6795" xr:uid="{00000000-0005-0000-0000-000008130000}"/>
    <cellStyle name="Normal 4 2 2 5 7 2 2" xfId="15237" xr:uid="{9373EDA5-7EA5-4A64-A826-49CA2312042E}"/>
    <cellStyle name="Normal 4 2 2 5 7 3" xfId="11019" xr:uid="{A6B87187-2A99-466B-B9EF-DAC37CBECAD4}"/>
    <cellStyle name="Normal 4 2 2 5 8" xfId="4730" xr:uid="{00000000-0005-0000-0000-000009130000}"/>
    <cellStyle name="Normal 4 2 2 5 8 2" xfId="13172" xr:uid="{E1DB556A-A32E-47A4-AD73-2EB3210E9010}"/>
    <cellStyle name="Normal 4 2 2 5 9" xfId="8954" xr:uid="{1A7D4C82-2660-4DA2-9E66-8A3DDADE598C}"/>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2 2 2" xfId="15732" xr:uid="{36AB5607-ED95-456D-80C0-2160C9F5D523}"/>
    <cellStyle name="Normal 4 2 2 6 2 2 3" xfId="11514" xr:uid="{C07864D1-B49F-42AC-81F4-3590FA9A1030}"/>
    <cellStyle name="Normal 4 2 2 6 2 3" xfId="5145" xr:uid="{00000000-0005-0000-0000-00000E130000}"/>
    <cellStyle name="Normal 4 2 2 6 2 3 2" xfId="13587" xr:uid="{0321284A-81DB-40AB-83ED-00AE7286E8C0}"/>
    <cellStyle name="Normal 4 2 2 6 2 4" xfId="9369" xr:uid="{94BE6674-FA0E-4803-A729-7F1ECBD0E6B0}"/>
    <cellStyle name="Normal 4 2 2 6 3" xfId="1250" xr:uid="{00000000-0005-0000-0000-00000F130000}"/>
    <cellStyle name="Normal 4 2 2 6 3 2" xfId="3480" xr:uid="{00000000-0005-0000-0000-000010130000}"/>
    <cellStyle name="Normal 4 2 2 6 3 2 2" xfId="7703" xr:uid="{00000000-0005-0000-0000-000011130000}"/>
    <cellStyle name="Normal 4 2 2 6 3 2 2 2" xfId="16145" xr:uid="{4F2F6CC8-FB82-4A33-BADB-52C33FBC9C0B}"/>
    <cellStyle name="Normal 4 2 2 6 3 2 3" xfId="11927" xr:uid="{E1C8C62C-9CC9-4C61-B1B5-E3E4C1926586}"/>
    <cellStyle name="Normal 4 2 2 6 3 3" xfId="5558" xr:uid="{00000000-0005-0000-0000-000012130000}"/>
    <cellStyle name="Normal 4 2 2 6 3 3 2" xfId="14000" xr:uid="{52D9E050-4D8D-49B3-8A06-F59D672EF47C}"/>
    <cellStyle name="Normal 4 2 2 6 3 4" xfId="9782" xr:uid="{2BBD682B-ADA0-405A-98CF-34C76CBE9935}"/>
    <cellStyle name="Normal 4 2 2 6 4" xfId="1663" xr:uid="{00000000-0005-0000-0000-000013130000}"/>
    <cellStyle name="Normal 4 2 2 6 4 2" xfId="3893" xr:uid="{00000000-0005-0000-0000-000014130000}"/>
    <cellStyle name="Normal 4 2 2 6 4 2 2" xfId="8116" xr:uid="{00000000-0005-0000-0000-000015130000}"/>
    <cellStyle name="Normal 4 2 2 6 4 2 2 2" xfId="16558" xr:uid="{15337E63-7568-4E43-B817-3FFDD5CA003C}"/>
    <cellStyle name="Normal 4 2 2 6 4 2 3" xfId="12340" xr:uid="{C28A6BF0-F0BC-4E31-BBF7-341C80AF51BE}"/>
    <cellStyle name="Normal 4 2 2 6 4 3" xfId="5971" xr:uid="{00000000-0005-0000-0000-000016130000}"/>
    <cellStyle name="Normal 4 2 2 6 4 3 2" xfId="14413" xr:uid="{05F4A0AF-FD72-4091-8BCF-EDA9882259A9}"/>
    <cellStyle name="Normal 4 2 2 6 4 4" xfId="10195" xr:uid="{563AB0BC-7267-4F9C-AF7C-411CE8669340}"/>
    <cellStyle name="Normal 4 2 2 6 5" xfId="2077" xr:uid="{00000000-0005-0000-0000-000017130000}"/>
    <cellStyle name="Normal 4 2 2 6 5 2" xfId="4306" xr:uid="{00000000-0005-0000-0000-000018130000}"/>
    <cellStyle name="Normal 4 2 2 6 5 2 2" xfId="8529" xr:uid="{00000000-0005-0000-0000-000019130000}"/>
    <cellStyle name="Normal 4 2 2 6 5 2 2 2" xfId="16971" xr:uid="{1769AA91-A930-4B22-91B9-8571C3C3FB2A}"/>
    <cellStyle name="Normal 4 2 2 6 5 2 3" xfId="12753" xr:uid="{E913646B-DB77-416B-91CA-B98F40404DA8}"/>
    <cellStyle name="Normal 4 2 2 6 5 3" xfId="6384" xr:uid="{00000000-0005-0000-0000-00001A130000}"/>
    <cellStyle name="Normal 4 2 2 6 5 3 2" xfId="14826" xr:uid="{4DBE45FB-3A74-4694-BC04-2E8CBF77ACC6}"/>
    <cellStyle name="Normal 4 2 2 6 5 4" xfId="10608" xr:uid="{E045DE79-9539-497A-90E2-117B4D2B3155}"/>
    <cellStyle name="Normal 4 2 2 6 6" xfId="2513" xr:uid="{00000000-0005-0000-0000-00001B130000}"/>
    <cellStyle name="Normal 4 2 2 6 6 2" xfId="6797" xr:uid="{00000000-0005-0000-0000-00001C130000}"/>
    <cellStyle name="Normal 4 2 2 6 6 2 2" xfId="15239" xr:uid="{21AE1B2C-336E-4336-BEC8-02B31AAF02E6}"/>
    <cellStyle name="Normal 4 2 2 6 6 3" xfId="11021" xr:uid="{67493F16-68F4-4215-8EBF-CA87B740726B}"/>
    <cellStyle name="Normal 4 2 2 6 7" xfId="4732" xr:uid="{00000000-0005-0000-0000-00001D130000}"/>
    <cellStyle name="Normal 4 2 2 6 7 2" xfId="13174" xr:uid="{D3251C53-AE2C-4184-92AC-976CDA491543}"/>
    <cellStyle name="Normal 4 2 2 6 8" xfId="8956" xr:uid="{E3186CBA-BD53-4CBD-8453-EEE83C0BABA9}"/>
    <cellStyle name="Normal 4 2 2 7" xfId="815" xr:uid="{00000000-0005-0000-0000-00001E130000}"/>
    <cellStyle name="Normal 4 2 2 7 2" xfId="3052" xr:uid="{00000000-0005-0000-0000-00001F130000}"/>
    <cellStyle name="Normal 4 2 2 7 2 2" xfId="7275" xr:uid="{00000000-0005-0000-0000-000020130000}"/>
    <cellStyle name="Normal 4 2 2 7 2 2 2" xfId="15717" xr:uid="{06407171-1905-47C1-907A-88010426FB38}"/>
    <cellStyle name="Normal 4 2 2 7 2 3" xfId="11499" xr:uid="{E6F1F4B0-B281-42B7-9439-4217302FD51A}"/>
    <cellStyle name="Normal 4 2 2 7 3" xfId="5130" xr:uid="{00000000-0005-0000-0000-000021130000}"/>
    <cellStyle name="Normal 4 2 2 7 3 2" xfId="13572" xr:uid="{86FC5642-E88A-4021-9160-A6FD1E43F544}"/>
    <cellStyle name="Normal 4 2 2 7 4" xfId="9354" xr:uid="{1349DBBE-06A9-4CAB-BB4A-F9ED654553B2}"/>
    <cellStyle name="Normal 4 2 2 8" xfId="1235" xr:uid="{00000000-0005-0000-0000-000022130000}"/>
    <cellStyle name="Normal 4 2 2 8 2" xfId="3465" xr:uid="{00000000-0005-0000-0000-000023130000}"/>
    <cellStyle name="Normal 4 2 2 8 2 2" xfId="7688" xr:uid="{00000000-0005-0000-0000-000024130000}"/>
    <cellStyle name="Normal 4 2 2 8 2 2 2" xfId="16130" xr:uid="{FAF42FD5-7BA6-406D-9433-C79CB8D8B358}"/>
    <cellStyle name="Normal 4 2 2 8 2 3" xfId="11912" xr:uid="{4914FC43-7277-439B-8E9F-986072B73B82}"/>
    <cellStyle name="Normal 4 2 2 8 3" xfId="5543" xr:uid="{00000000-0005-0000-0000-000025130000}"/>
    <cellStyle name="Normal 4 2 2 8 3 2" xfId="13985" xr:uid="{21E75F84-CEB0-4298-8F87-030B77E67931}"/>
    <cellStyle name="Normal 4 2 2 8 4" xfId="9767" xr:uid="{73159E9A-6E91-4350-B851-2CAB6F27C0FA}"/>
    <cellStyle name="Normal 4 2 2 9" xfId="1648" xr:uid="{00000000-0005-0000-0000-000026130000}"/>
    <cellStyle name="Normal 4 2 2 9 2" xfId="3878" xr:uid="{00000000-0005-0000-0000-000027130000}"/>
    <cellStyle name="Normal 4 2 2 9 2 2" xfId="8101" xr:uid="{00000000-0005-0000-0000-000028130000}"/>
    <cellStyle name="Normal 4 2 2 9 2 2 2" xfId="16543" xr:uid="{37C5856F-E5A4-41D1-B450-4B3F7E7A53D7}"/>
    <cellStyle name="Normal 4 2 2 9 2 3" xfId="12325" xr:uid="{D3AAF423-A33A-44E0-98BD-262FA7B5E0DF}"/>
    <cellStyle name="Normal 4 2 2 9 3" xfId="5956" xr:uid="{00000000-0005-0000-0000-000029130000}"/>
    <cellStyle name="Normal 4 2 2 9 3 2" xfId="14398" xr:uid="{32AEEAE7-84F1-428B-8D14-4574296FEC84}"/>
    <cellStyle name="Normal 4 2 2 9 4" xfId="10180" xr:uid="{48F7445A-12B6-4F0A-985D-870436E6E4CD}"/>
    <cellStyle name="Normal 4 2 3" xfId="354" xr:uid="{00000000-0005-0000-0000-00002A130000}"/>
    <cellStyle name="Normal 4 2 4" xfId="355" xr:uid="{00000000-0005-0000-0000-00002B130000}"/>
    <cellStyle name="Normal 4 2 4 10" xfId="4733" xr:uid="{00000000-0005-0000-0000-00002C130000}"/>
    <cellStyle name="Normal 4 2 4 10 2" xfId="13175" xr:uid="{1D051473-1EE1-4A6B-B148-3DB5543F9A03}"/>
    <cellStyle name="Normal 4 2 4 11" xfId="8957" xr:uid="{0A2F7C15-E772-46AD-9DE0-7E82C04968BD}"/>
    <cellStyle name="Normal 4 2 4 2" xfId="356" xr:uid="{00000000-0005-0000-0000-00002D130000}"/>
    <cellStyle name="Normal 4 2 4 2 10" xfId="8958" xr:uid="{9A6C0B6D-2AB0-40BD-B001-662B339D0DC9}"/>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2 2 2" xfId="15736" xr:uid="{DD91C43C-B613-492A-A0DC-2604BFF93D24}"/>
    <cellStyle name="Normal 4 2 4 2 2 2 2 2 3" xfId="11518" xr:uid="{AE151E46-B78A-434C-8FA2-CAD39D14067D}"/>
    <cellStyle name="Normal 4 2 4 2 2 2 2 3" xfId="5149" xr:uid="{00000000-0005-0000-0000-000033130000}"/>
    <cellStyle name="Normal 4 2 4 2 2 2 2 3 2" xfId="13591" xr:uid="{A7662C8C-2B14-493A-8CD0-867C8FA263CF}"/>
    <cellStyle name="Normal 4 2 4 2 2 2 2 4" xfId="9373" xr:uid="{16026352-6BE5-4780-8215-486C318186CA}"/>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2 2 2" xfId="16149" xr:uid="{E6B89A79-2BE0-47A2-B0D5-7D0A77289E35}"/>
    <cellStyle name="Normal 4 2 4 2 2 2 3 2 3" xfId="11931" xr:uid="{111658A2-B4C1-4F27-A100-AE6315EF9D76}"/>
    <cellStyle name="Normal 4 2 4 2 2 2 3 3" xfId="5562" xr:uid="{00000000-0005-0000-0000-000037130000}"/>
    <cellStyle name="Normal 4 2 4 2 2 2 3 3 2" xfId="14004" xr:uid="{91B36C20-3E0C-48A1-AEB4-8841828CAA7A}"/>
    <cellStyle name="Normal 4 2 4 2 2 2 3 4" xfId="9786" xr:uid="{343F80E8-6C52-4DDB-A39C-80F5B983A5E1}"/>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2 2 2" xfId="16562" xr:uid="{59AFA000-B542-419C-BF9C-44343A8D956E}"/>
    <cellStyle name="Normal 4 2 4 2 2 2 4 2 3" xfId="12344" xr:uid="{6FE6C686-B185-4D1D-98A0-3DB73FE8089F}"/>
    <cellStyle name="Normal 4 2 4 2 2 2 4 3" xfId="5975" xr:uid="{00000000-0005-0000-0000-00003B130000}"/>
    <cellStyle name="Normal 4 2 4 2 2 2 4 3 2" xfId="14417" xr:uid="{6A3B8882-C3DE-457A-BA3B-091CA99F4E4E}"/>
    <cellStyle name="Normal 4 2 4 2 2 2 4 4" xfId="10199" xr:uid="{3E065815-97A3-486A-BF45-40980DD2BD1E}"/>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2 2 2" xfId="16975" xr:uid="{859F463C-36E9-4A26-87E3-A36A2756D344}"/>
    <cellStyle name="Normal 4 2 4 2 2 2 5 2 3" xfId="12757" xr:uid="{8957D905-6CB4-4ABD-BD72-2B0AD4AD362C}"/>
    <cellStyle name="Normal 4 2 4 2 2 2 5 3" xfId="6388" xr:uid="{00000000-0005-0000-0000-00003F130000}"/>
    <cellStyle name="Normal 4 2 4 2 2 2 5 3 2" xfId="14830" xr:uid="{61C79B0E-187A-4B6B-89A0-00EDF16BD14E}"/>
    <cellStyle name="Normal 4 2 4 2 2 2 5 4" xfId="10612" xr:uid="{44CD2967-D9CE-46C3-83B3-7C37101478ED}"/>
    <cellStyle name="Normal 4 2 4 2 2 2 6" xfId="2517" xr:uid="{00000000-0005-0000-0000-000040130000}"/>
    <cellStyle name="Normal 4 2 4 2 2 2 6 2" xfId="6801" xr:uid="{00000000-0005-0000-0000-000041130000}"/>
    <cellStyle name="Normal 4 2 4 2 2 2 6 2 2" xfId="15243" xr:uid="{E9D698E8-9724-467D-BE07-4AE63EE1E3A6}"/>
    <cellStyle name="Normal 4 2 4 2 2 2 6 3" xfId="11025" xr:uid="{F5380F00-7F31-4899-9566-E34C14827945}"/>
    <cellStyle name="Normal 4 2 4 2 2 2 7" xfId="4736" xr:uid="{00000000-0005-0000-0000-000042130000}"/>
    <cellStyle name="Normal 4 2 4 2 2 2 7 2" xfId="13178" xr:uid="{A1FFBE81-BECC-4CE5-9C3A-08B976158A92}"/>
    <cellStyle name="Normal 4 2 4 2 2 2 8" xfId="8960" xr:uid="{E13F8E32-C977-403A-AC3F-719BDE3AE604}"/>
    <cellStyle name="Normal 4 2 4 2 2 3" xfId="833" xr:uid="{00000000-0005-0000-0000-000043130000}"/>
    <cellStyle name="Normal 4 2 4 2 2 3 2" xfId="3070" xr:uid="{00000000-0005-0000-0000-000044130000}"/>
    <cellStyle name="Normal 4 2 4 2 2 3 2 2" xfId="7293" xr:uid="{00000000-0005-0000-0000-000045130000}"/>
    <cellStyle name="Normal 4 2 4 2 2 3 2 2 2" xfId="15735" xr:uid="{33EE0E70-C081-4D70-90AB-40C99F98C516}"/>
    <cellStyle name="Normal 4 2 4 2 2 3 2 3" xfId="11517" xr:uid="{9532DDC3-057E-4BC6-A502-E250883D9BAD}"/>
    <cellStyle name="Normal 4 2 4 2 2 3 3" xfId="5148" xr:uid="{00000000-0005-0000-0000-000046130000}"/>
    <cellStyle name="Normal 4 2 4 2 2 3 3 2" xfId="13590" xr:uid="{69CE0929-BDF3-4B63-9B13-7B45BAB2D72A}"/>
    <cellStyle name="Normal 4 2 4 2 2 3 4" xfId="9372" xr:uid="{E8EB8F82-5906-497F-987B-459ECE2B273C}"/>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2 2 2" xfId="16148" xr:uid="{B5AB1799-8EF9-47E7-AA53-5A18E29208AD}"/>
    <cellStyle name="Normal 4 2 4 2 2 4 2 3" xfId="11930" xr:uid="{8271C2AC-59D8-4192-BC89-8F3D5F59DCE6}"/>
    <cellStyle name="Normal 4 2 4 2 2 4 3" xfId="5561" xr:uid="{00000000-0005-0000-0000-00004A130000}"/>
    <cellStyle name="Normal 4 2 4 2 2 4 3 2" xfId="14003" xr:uid="{3BC92BCD-5C92-465F-AC5D-4DAB5F0A0F46}"/>
    <cellStyle name="Normal 4 2 4 2 2 4 4" xfId="9785" xr:uid="{403686A2-DE0E-4738-8185-D16C89A3D444}"/>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2 2 2" xfId="16561" xr:uid="{1A1F58AF-0A97-4F2E-AB6C-E60D51EFDBEC}"/>
    <cellStyle name="Normal 4 2 4 2 2 5 2 3" xfId="12343" xr:uid="{AF3CF924-EDE9-47A7-B3EA-D581107E501D}"/>
    <cellStyle name="Normal 4 2 4 2 2 5 3" xfId="5974" xr:uid="{00000000-0005-0000-0000-00004E130000}"/>
    <cellStyle name="Normal 4 2 4 2 2 5 3 2" xfId="14416" xr:uid="{8163BB3B-3A3E-4D55-BDF4-A7C50A81177D}"/>
    <cellStyle name="Normal 4 2 4 2 2 5 4" xfId="10198" xr:uid="{B67DCD9D-C3FB-4B8F-8237-A9066958E269}"/>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2 2 2" xfId="16974" xr:uid="{ACBC37D1-F1EF-4509-8C5B-055DEDD7A2BC}"/>
    <cellStyle name="Normal 4 2 4 2 2 6 2 3" xfId="12756" xr:uid="{52C336B7-0D86-4B39-8AFC-8CAF24B54FB2}"/>
    <cellStyle name="Normal 4 2 4 2 2 6 3" xfId="6387" xr:uid="{00000000-0005-0000-0000-000052130000}"/>
    <cellStyle name="Normal 4 2 4 2 2 6 3 2" xfId="14829" xr:uid="{DCE83B3C-C886-4C26-8BA8-D0C7F171386A}"/>
    <cellStyle name="Normal 4 2 4 2 2 6 4" xfId="10611" xr:uid="{43BFDA8D-2B52-4894-A683-FE81A137047C}"/>
    <cellStyle name="Normal 4 2 4 2 2 7" xfId="2516" xr:uid="{00000000-0005-0000-0000-000053130000}"/>
    <cellStyle name="Normal 4 2 4 2 2 7 2" xfId="6800" xr:uid="{00000000-0005-0000-0000-000054130000}"/>
    <cellStyle name="Normal 4 2 4 2 2 7 2 2" xfId="15242" xr:uid="{C0E2AC0B-3209-446C-A76A-771DDB4601AF}"/>
    <cellStyle name="Normal 4 2 4 2 2 7 3" xfId="11024" xr:uid="{20DC0B65-5E5F-4E72-8B9D-125A82A59580}"/>
    <cellStyle name="Normal 4 2 4 2 2 8" xfId="4735" xr:uid="{00000000-0005-0000-0000-000055130000}"/>
    <cellStyle name="Normal 4 2 4 2 2 8 2" xfId="13177" xr:uid="{CC5329A8-F42A-437C-9BB8-FD2353CBC43C}"/>
    <cellStyle name="Normal 4 2 4 2 2 9" xfId="8959" xr:uid="{07936DB8-6FFE-4885-B280-EDBD60522434}"/>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2 2 2" xfId="15737" xr:uid="{1F9DCA77-E346-47EE-8819-DA2B8C695746}"/>
    <cellStyle name="Normal 4 2 4 2 3 2 2 3" xfId="11519" xr:uid="{87B9B2F9-4CA8-4ECF-B54A-A41C071FE26F}"/>
    <cellStyle name="Normal 4 2 4 2 3 2 3" xfId="5150" xr:uid="{00000000-0005-0000-0000-00005A130000}"/>
    <cellStyle name="Normal 4 2 4 2 3 2 3 2" xfId="13592" xr:uid="{94280590-63D6-4BCB-ADC8-646387849734}"/>
    <cellStyle name="Normal 4 2 4 2 3 2 4" xfId="9374" xr:uid="{0B009086-8549-4F57-B419-EBB53D35CF09}"/>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2 2 2" xfId="16150" xr:uid="{B54C277E-12AC-4C02-8D3B-A4D5B0293900}"/>
    <cellStyle name="Normal 4 2 4 2 3 3 2 3" xfId="11932" xr:uid="{582CE56A-CED6-4EA7-B4D4-442FC3A20ADB}"/>
    <cellStyle name="Normal 4 2 4 2 3 3 3" xfId="5563" xr:uid="{00000000-0005-0000-0000-00005E130000}"/>
    <cellStyle name="Normal 4 2 4 2 3 3 3 2" xfId="14005" xr:uid="{A0FDEDB6-4A5D-4C93-9DD3-06372835764C}"/>
    <cellStyle name="Normal 4 2 4 2 3 3 4" xfId="9787" xr:uid="{7C8CB1C1-F848-4FAE-B223-018513270821}"/>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2 2 2" xfId="16563" xr:uid="{54CFEBC7-651B-427A-A921-0C9B8D17FBFB}"/>
    <cellStyle name="Normal 4 2 4 2 3 4 2 3" xfId="12345" xr:uid="{C6B79C97-F11D-4156-A6AD-761A6B7051ED}"/>
    <cellStyle name="Normal 4 2 4 2 3 4 3" xfId="5976" xr:uid="{00000000-0005-0000-0000-000062130000}"/>
    <cellStyle name="Normal 4 2 4 2 3 4 3 2" xfId="14418" xr:uid="{B34CE5B7-EB69-4D88-B51C-2EDF386668EC}"/>
    <cellStyle name="Normal 4 2 4 2 3 4 4" xfId="10200" xr:uid="{29C8F766-0B8A-44CC-9D73-AB3F6EF57F93}"/>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2 2 2" xfId="16976" xr:uid="{7FD89EB6-764F-4BAF-A43D-69951FBC5BCE}"/>
    <cellStyle name="Normal 4 2 4 2 3 5 2 3" xfId="12758" xr:uid="{AB5B8589-2E99-4D92-943C-3CAF5819785C}"/>
    <cellStyle name="Normal 4 2 4 2 3 5 3" xfId="6389" xr:uid="{00000000-0005-0000-0000-000066130000}"/>
    <cellStyle name="Normal 4 2 4 2 3 5 3 2" xfId="14831" xr:uid="{579CC30A-9DC2-4553-88B5-ABED7BC504B2}"/>
    <cellStyle name="Normal 4 2 4 2 3 5 4" xfId="10613" xr:uid="{2F06193E-B493-4C44-B038-AB1235088A8C}"/>
    <cellStyle name="Normal 4 2 4 2 3 6" xfId="2518" xr:uid="{00000000-0005-0000-0000-000067130000}"/>
    <cellStyle name="Normal 4 2 4 2 3 6 2" xfId="6802" xr:uid="{00000000-0005-0000-0000-000068130000}"/>
    <cellStyle name="Normal 4 2 4 2 3 6 2 2" xfId="15244" xr:uid="{4D59E15D-711D-44AD-A5FA-7BDFB606684D}"/>
    <cellStyle name="Normal 4 2 4 2 3 6 3" xfId="11026" xr:uid="{1E06B6E2-CB0C-48FC-A7BD-42F8519986B9}"/>
    <cellStyle name="Normal 4 2 4 2 3 7" xfId="4737" xr:uid="{00000000-0005-0000-0000-000069130000}"/>
    <cellStyle name="Normal 4 2 4 2 3 7 2" xfId="13179" xr:uid="{44C8810B-B84B-4443-A440-A567471DC214}"/>
    <cellStyle name="Normal 4 2 4 2 3 8" xfId="8961" xr:uid="{6E316654-78A7-4543-BAC3-729EA9E60D6A}"/>
    <cellStyle name="Normal 4 2 4 2 4" xfId="832" xr:uid="{00000000-0005-0000-0000-00006A130000}"/>
    <cellStyle name="Normal 4 2 4 2 4 2" xfId="3069" xr:uid="{00000000-0005-0000-0000-00006B130000}"/>
    <cellStyle name="Normal 4 2 4 2 4 2 2" xfId="7292" xr:uid="{00000000-0005-0000-0000-00006C130000}"/>
    <cellStyle name="Normal 4 2 4 2 4 2 2 2" xfId="15734" xr:uid="{90645790-62FA-4D10-B207-3E90B998D129}"/>
    <cellStyle name="Normal 4 2 4 2 4 2 3" xfId="11516" xr:uid="{A57D79C6-2CA0-4312-9477-DCC1846A5F97}"/>
    <cellStyle name="Normal 4 2 4 2 4 3" xfId="5147" xr:uid="{00000000-0005-0000-0000-00006D130000}"/>
    <cellStyle name="Normal 4 2 4 2 4 3 2" xfId="13589" xr:uid="{D14A34C6-EFD8-4808-973E-953FCDA918A1}"/>
    <cellStyle name="Normal 4 2 4 2 4 4" xfId="9371" xr:uid="{5DEECE1A-F622-406F-8B89-B0B40A318AE7}"/>
    <cellStyle name="Normal 4 2 4 2 5" xfId="1252" xr:uid="{00000000-0005-0000-0000-00006E130000}"/>
    <cellStyle name="Normal 4 2 4 2 5 2" xfId="3482" xr:uid="{00000000-0005-0000-0000-00006F130000}"/>
    <cellStyle name="Normal 4 2 4 2 5 2 2" xfId="7705" xr:uid="{00000000-0005-0000-0000-000070130000}"/>
    <cellStyle name="Normal 4 2 4 2 5 2 2 2" xfId="16147" xr:uid="{9EB4D4AE-DD36-4F34-B148-EB79A086BA77}"/>
    <cellStyle name="Normal 4 2 4 2 5 2 3" xfId="11929" xr:uid="{C6EB09B3-2B83-4DB5-8D25-A87C4791E460}"/>
    <cellStyle name="Normal 4 2 4 2 5 3" xfId="5560" xr:uid="{00000000-0005-0000-0000-000071130000}"/>
    <cellStyle name="Normal 4 2 4 2 5 3 2" xfId="14002" xr:uid="{68007A9F-B15F-4CD7-8863-A49CD52AB09F}"/>
    <cellStyle name="Normal 4 2 4 2 5 4" xfId="9784" xr:uid="{CFF64051-FF84-4545-A075-07413B9FC048}"/>
    <cellStyle name="Normal 4 2 4 2 6" xfId="1665" xr:uid="{00000000-0005-0000-0000-000072130000}"/>
    <cellStyle name="Normal 4 2 4 2 6 2" xfId="3895" xr:uid="{00000000-0005-0000-0000-000073130000}"/>
    <cellStyle name="Normal 4 2 4 2 6 2 2" xfId="8118" xr:uid="{00000000-0005-0000-0000-000074130000}"/>
    <cellStyle name="Normal 4 2 4 2 6 2 2 2" xfId="16560" xr:uid="{3126D8F1-3E0D-4B29-8B21-A282627B40F3}"/>
    <cellStyle name="Normal 4 2 4 2 6 2 3" xfId="12342" xr:uid="{C820F700-C99D-46EF-BED8-6B438720A42E}"/>
    <cellStyle name="Normal 4 2 4 2 6 3" xfId="5973" xr:uid="{00000000-0005-0000-0000-000075130000}"/>
    <cellStyle name="Normal 4 2 4 2 6 3 2" xfId="14415" xr:uid="{322786C2-F680-46FA-BFF4-3B847FCDB6A7}"/>
    <cellStyle name="Normal 4 2 4 2 6 4" xfId="10197" xr:uid="{B535500A-4AFE-4026-B729-0FB83A2C143C}"/>
    <cellStyle name="Normal 4 2 4 2 7" xfId="2079" xr:uid="{00000000-0005-0000-0000-000076130000}"/>
    <cellStyle name="Normal 4 2 4 2 7 2" xfId="4308" xr:uid="{00000000-0005-0000-0000-000077130000}"/>
    <cellStyle name="Normal 4 2 4 2 7 2 2" xfId="8531" xr:uid="{00000000-0005-0000-0000-000078130000}"/>
    <cellStyle name="Normal 4 2 4 2 7 2 2 2" xfId="16973" xr:uid="{ED78236C-9475-4761-B5D5-B29C5AFC4A03}"/>
    <cellStyle name="Normal 4 2 4 2 7 2 3" xfId="12755" xr:uid="{A81DB799-E7AB-4062-94A5-B5919607EBD2}"/>
    <cellStyle name="Normal 4 2 4 2 7 3" xfId="6386" xr:uid="{00000000-0005-0000-0000-000079130000}"/>
    <cellStyle name="Normal 4 2 4 2 7 3 2" xfId="14828" xr:uid="{0BA6C5BB-E3BB-455C-B786-5DF50887FDFC}"/>
    <cellStyle name="Normal 4 2 4 2 7 4" xfId="10610" xr:uid="{97A37A48-6AEA-44BE-A972-0B1CAACCCC60}"/>
    <cellStyle name="Normal 4 2 4 2 8" xfId="2515" xr:uid="{00000000-0005-0000-0000-00007A130000}"/>
    <cellStyle name="Normal 4 2 4 2 8 2" xfId="6799" xr:uid="{00000000-0005-0000-0000-00007B130000}"/>
    <cellStyle name="Normal 4 2 4 2 8 2 2" xfId="15241" xr:uid="{CDD9244A-2225-4D4D-86A6-A86BFE321AEE}"/>
    <cellStyle name="Normal 4 2 4 2 8 3" xfId="11023" xr:uid="{4C290EAF-7C89-46C0-B20F-BAEC14F52DB6}"/>
    <cellStyle name="Normal 4 2 4 2 9" xfId="4734" xr:uid="{00000000-0005-0000-0000-00007C130000}"/>
    <cellStyle name="Normal 4 2 4 2 9 2" xfId="13176" xr:uid="{91530B92-22B9-4E0D-A82D-1EB61F577B05}"/>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2 2 2" xfId="15739" xr:uid="{5BEBCA1D-E1BF-4B46-900F-A9486E5EBA30}"/>
    <cellStyle name="Normal 4 2 4 3 2 2 2 3" xfId="11521" xr:uid="{3CD010D5-2609-4215-96E9-52276742AA79}"/>
    <cellStyle name="Normal 4 2 4 3 2 2 3" xfId="5152" xr:uid="{00000000-0005-0000-0000-000082130000}"/>
    <cellStyle name="Normal 4 2 4 3 2 2 3 2" xfId="13594" xr:uid="{98D16A95-1C02-406F-ABFE-0B777C09A354}"/>
    <cellStyle name="Normal 4 2 4 3 2 2 4" xfId="9376" xr:uid="{94026840-BFA6-4E30-92F2-D59E56722B3E}"/>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2 2 2" xfId="16152" xr:uid="{973FB114-E3E7-4B66-A391-0567960188D0}"/>
    <cellStyle name="Normal 4 2 4 3 2 3 2 3" xfId="11934" xr:uid="{A45391A5-F3FC-47E2-A13E-D7C1029C5115}"/>
    <cellStyle name="Normal 4 2 4 3 2 3 3" xfId="5565" xr:uid="{00000000-0005-0000-0000-000086130000}"/>
    <cellStyle name="Normal 4 2 4 3 2 3 3 2" xfId="14007" xr:uid="{CF194F71-DEE8-44F5-B857-76170D017B59}"/>
    <cellStyle name="Normal 4 2 4 3 2 3 4" xfId="9789" xr:uid="{DEB4C812-6458-406C-BAA8-21936D1D8B97}"/>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2 2 2" xfId="16565" xr:uid="{98D10FD9-BB2B-4918-89C6-A8F7B5970856}"/>
    <cellStyle name="Normal 4 2 4 3 2 4 2 3" xfId="12347" xr:uid="{77AE3A7B-9E83-491D-BACA-57925F5D9F28}"/>
    <cellStyle name="Normal 4 2 4 3 2 4 3" xfId="5978" xr:uid="{00000000-0005-0000-0000-00008A130000}"/>
    <cellStyle name="Normal 4 2 4 3 2 4 3 2" xfId="14420" xr:uid="{20E02D8B-FD52-4F21-938D-C1ED752DB9A6}"/>
    <cellStyle name="Normal 4 2 4 3 2 4 4" xfId="10202" xr:uid="{BC28B4DB-F650-4B6D-8D48-5D6317A009EA}"/>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2 2 2" xfId="16978" xr:uid="{CFE4B599-8D72-40FA-9747-261B13729D12}"/>
    <cellStyle name="Normal 4 2 4 3 2 5 2 3" xfId="12760" xr:uid="{0EE0E2D5-ABFD-408D-A3AA-F2CC9128CF87}"/>
    <cellStyle name="Normal 4 2 4 3 2 5 3" xfId="6391" xr:uid="{00000000-0005-0000-0000-00008E130000}"/>
    <cellStyle name="Normal 4 2 4 3 2 5 3 2" xfId="14833" xr:uid="{B93B54DD-F551-464A-A5A6-C81878177B08}"/>
    <cellStyle name="Normal 4 2 4 3 2 5 4" xfId="10615" xr:uid="{90073BB9-BB46-4C9B-8417-64A32E66F8D4}"/>
    <cellStyle name="Normal 4 2 4 3 2 6" xfId="2520" xr:uid="{00000000-0005-0000-0000-00008F130000}"/>
    <cellStyle name="Normal 4 2 4 3 2 6 2" xfId="6804" xr:uid="{00000000-0005-0000-0000-000090130000}"/>
    <cellStyle name="Normal 4 2 4 3 2 6 2 2" xfId="15246" xr:uid="{738B5064-54D4-4A3E-94E5-7869913E6FBF}"/>
    <cellStyle name="Normal 4 2 4 3 2 6 3" xfId="11028" xr:uid="{260114EF-4651-434A-85AA-88E71E6C20F2}"/>
    <cellStyle name="Normal 4 2 4 3 2 7" xfId="4739" xr:uid="{00000000-0005-0000-0000-000091130000}"/>
    <cellStyle name="Normal 4 2 4 3 2 7 2" xfId="13181" xr:uid="{47707F9E-DAF8-4FF5-8744-3F19C52E70B8}"/>
    <cellStyle name="Normal 4 2 4 3 2 8" xfId="8963" xr:uid="{6FBCEF25-91F5-449D-9F56-61DDBAC94DB0}"/>
    <cellStyle name="Normal 4 2 4 3 3" xfId="836" xr:uid="{00000000-0005-0000-0000-000092130000}"/>
    <cellStyle name="Normal 4 2 4 3 3 2" xfId="3073" xr:uid="{00000000-0005-0000-0000-000093130000}"/>
    <cellStyle name="Normal 4 2 4 3 3 2 2" xfId="7296" xr:uid="{00000000-0005-0000-0000-000094130000}"/>
    <cellStyle name="Normal 4 2 4 3 3 2 2 2" xfId="15738" xr:uid="{8768EB63-4484-4977-A62B-52C4FEF2BF55}"/>
    <cellStyle name="Normal 4 2 4 3 3 2 3" xfId="11520" xr:uid="{9CC6DCF9-517B-422E-9F1C-383D004DDCCC}"/>
    <cellStyle name="Normal 4 2 4 3 3 3" xfId="5151" xr:uid="{00000000-0005-0000-0000-000095130000}"/>
    <cellStyle name="Normal 4 2 4 3 3 3 2" xfId="13593" xr:uid="{A4EACB8A-CCB0-48B0-AD78-26A3A774574F}"/>
    <cellStyle name="Normal 4 2 4 3 3 4" xfId="9375" xr:uid="{9842CE94-19EC-4826-A32D-08F70379616E}"/>
    <cellStyle name="Normal 4 2 4 3 4" xfId="1256" xr:uid="{00000000-0005-0000-0000-000096130000}"/>
    <cellStyle name="Normal 4 2 4 3 4 2" xfId="3486" xr:uid="{00000000-0005-0000-0000-000097130000}"/>
    <cellStyle name="Normal 4 2 4 3 4 2 2" xfId="7709" xr:uid="{00000000-0005-0000-0000-000098130000}"/>
    <cellStyle name="Normal 4 2 4 3 4 2 2 2" xfId="16151" xr:uid="{A367B36B-BC5B-4200-A529-73E065C68BF3}"/>
    <cellStyle name="Normal 4 2 4 3 4 2 3" xfId="11933" xr:uid="{ECE1E85D-12D5-4456-92CB-F06A01D355CF}"/>
    <cellStyle name="Normal 4 2 4 3 4 3" xfId="5564" xr:uid="{00000000-0005-0000-0000-000099130000}"/>
    <cellStyle name="Normal 4 2 4 3 4 3 2" xfId="14006" xr:uid="{7C46B07A-EAF7-4754-B5A3-F8FEE2206F6D}"/>
    <cellStyle name="Normal 4 2 4 3 4 4" xfId="9788" xr:uid="{F5F98CBE-063B-476C-9BB2-E7A3B3C040BF}"/>
    <cellStyle name="Normal 4 2 4 3 5" xfId="1669" xr:uid="{00000000-0005-0000-0000-00009A130000}"/>
    <cellStyle name="Normal 4 2 4 3 5 2" xfId="3899" xr:uid="{00000000-0005-0000-0000-00009B130000}"/>
    <cellStyle name="Normal 4 2 4 3 5 2 2" xfId="8122" xr:uid="{00000000-0005-0000-0000-00009C130000}"/>
    <cellStyle name="Normal 4 2 4 3 5 2 2 2" xfId="16564" xr:uid="{DFDF402C-DD6E-43C7-9DD3-4202016A87CA}"/>
    <cellStyle name="Normal 4 2 4 3 5 2 3" xfId="12346" xr:uid="{C4919AD4-A26B-4995-BAF3-92580F9415D3}"/>
    <cellStyle name="Normal 4 2 4 3 5 3" xfId="5977" xr:uid="{00000000-0005-0000-0000-00009D130000}"/>
    <cellStyle name="Normal 4 2 4 3 5 3 2" xfId="14419" xr:uid="{8B0974D1-ECEB-48B6-91E9-2A5484D9D6BE}"/>
    <cellStyle name="Normal 4 2 4 3 5 4" xfId="10201" xr:uid="{7752CE54-8393-411F-A3BE-63C9AB309238}"/>
    <cellStyle name="Normal 4 2 4 3 6" xfId="2083" xr:uid="{00000000-0005-0000-0000-00009E130000}"/>
    <cellStyle name="Normal 4 2 4 3 6 2" xfId="4312" xr:uid="{00000000-0005-0000-0000-00009F130000}"/>
    <cellStyle name="Normal 4 2 4 3 6 2 2" xfId="8535" xr:uid="{00000000-0005-0000-0000-0000A0130000}"/>
    <cellStyle name="Normal 4 2 4 3 6 2 2 2" xfId="16977" xr:uid="{78A5C95E-ECE3-4579-8207-19C65ED5BF9A}"/>
    <cellStyle name="Normal 4 2 4 3 6 2 3" xfId="12759" xr:uid="{7B74A362-0AB6-4271-88D0-86F48D17180F}"/>
    <cellStyle name="Normal 4 2 4 3 6 3" xfId="6390" xr:uid="{00000000-0005-0000-0000-0000A1130000}"/>
    <cellStyle name="Normal 4 2 4 3 6 3 2" xfId="14832" xr:uid="{C35A0825-4D07-4811-8DB9-07C8EE861248}"/>
    <cellStyle name="Normal 4 2 4 3 6 4" xfId="10614" xr:uid="{DEC3BBB9-E406-4EFA-B328-DD0FE6E4AEEB}"/>
    <cellStyle name="Normal 4 2 4 3 7" xfId="2519" xr:uid="{00000000-0005-0000-0000-0000A2130000}"/>
    <cellStyle name="Normal 4 2 4 3 7 2" xfId="6803" xr:uid="{00000000-0005-0000-0000-0000A3130000}"/>
    <cellStyle name="Normal 4 2 4 3 7 2 2" xfId="15245" xr:uid="{CC1E1C77-2CDB-44EC-A48E-87B45CB285FE}"/>
    <cellStyle name="Normal 4 2 4 3 7 3" xfId="11027" xr:uid="{30570F50-0560-48AC-A2C5-321F938D53B9}"/>
    <cellStyle name="Normal 4 2 4 3 8" xfId="4738" xr:uid="{00000000-0005-0000-0000-0000A4130000}"/>
    <cellStyle name="Normal 4 2 4 3 8 2" xfId="13180" xr:uid="{AA9A0F55-1B81-464F-BCD7-04DF2B188108}"/>
    <cellStyle name="Normal 4 2 4 3 9" xfId="8962" xr:uid="{071C432B-6898-48DC-B327-415E71CFAA1A}"/>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2 2 2" xfId="15740" xr:uid="{0894618A-A62F-4D00-91A0-44AF6E022A4E}"/>
    <cellStyle name="Normal 4 2 4 4 2 2 3" xfId="11522" xr:uid="{6ADF02F1-BD4E-4531-9AD9-F788E0232A63}"/>
    <cellStyle name="Normal 4 2 4 4 2 3" xfId="5153" xr:uid="{00000000-0005-0000-0000-0000A9130000}"/>
    <cellStyle name="Normal 4 2 4 4 2 3 2" xfId="13595" xr:uid="{C311CDF8-55F3-49E3-9978-EB773D6331A1}"/>
    <cellStyle name="Normal 4 2 4 4 2 4" xfId="9377" xr:uid="{72389DE7-4A54-4DED-ADEC-900C3C359CA6}"/>
    <cellStyle name="Normal 4 2 4 4 3" xfId="1258" xr:uid="{00000000-0005-0000-0000-0000AA130000}"/>
    <cellStyle name="Normal 4 2 4 4 3 2" xfId="3488" xr:uid="{00000000-0005-0000-0000-0000AB130000}"/>
    <cellStyle name="Normal 4 2 4 4 3 2 2" xfId="7711" xr:uid="{00000000-0005-0000-0000-0000AC130000}"/>
    <cellStyle name="Normal 4 2 4 4 3 2 2 2" xfId="16153" xr:uid="{A0F0F348-FCEC-48F3-8FE2-334275645845}"/>
    <cellStyle name="Normal 4 2 4 4 3 2 3" xfId="11935" xr:uid="{EC2A3B7F-AD5D-47B9-B1B0-1531441B885E}"/>
    <cellStyle name="Normal 4 2 4 4 3 3" xfId="5566" xr:uid="{00000000-0005-0000-0000-0000AD130000}"/>
    <cellStyle name="Normal 4 2 4 4 3 3 2" xfId="14008" xr:uid="{1EA457C9-8863-4DD2-B0F3-6CDD6F1EA5AC}"/>
    <cellStyle name="Normal 4 2 4 4 3 4" xfId="9790" xr:uid="{FA6F77C9-8184-479E-AB50-84C7DEF203BD}"/>
    <cellStyle name="Normal 4 2 4 4 4" xfId="1671" xr:uid="{00000000-0005-0000-0000-0000AE130000}"/>
    <cellStyle name="Normal 4 2 4 4 4 2" xfId="3901" xr:uid="{00000000-0005-0000-0000-0000AF130000}"/>
    <cellStyle name="Normal 4 2 4 4 4 2 2" xfId="8124" xr:uid="{00000000-0005-0000-0000-0000B0130000}"/>
    <cellStyle name="Normal 4 2 4 4 4 2 2 2" xfId="16566" xr:uid="{2EE86B80-EF8E-4EE9-9A93-9D3F6517F9BB}"/>
    <cellStyle name="Normal 4 2 4 4 4 2 3" xfId="12348" xr:uid="{5F51ACAF-9BB9-4718-B6E8-33B896644C8C}"/>
    <cellStyle name="Normal 4 2 4 4 4 3" xfId="5979" xr:uid="{00000000-0005-0000-0000-0000B1130000}"/>
    <cellStyle name="Normal 4 2 4 4 4 3 2" xfId="14421" xr:uid="{5E1538DD-7716-424E-B3BB-2014833E5542}"/>
    <cellStyle name="Normal 4 2 4 4 4 4" xfId="10203" xr:uid="{6F86A3D5-FF96-4673-B7B9-90306768FAE1}"/>
    <cellStyle name="Normal 4 2 4 4 5" xfId="2085" xr:uid="{00000000-0005-0000-0000-0000B2130000}"/>
    <cellStyle name="Normal 4 2 4 4 5 2" xfId="4314" xr:uid="{00000000-0005-0000-0000-0000B3130000}"/>
    <cellStyle name="Normal 4 2 4 4 5 2 2" xfId="8537" xr:uid="{00000000-0005-0000-0000-0000B4130000}"/>
    <cellStyle name="Normal 4 2 4 4 5 2 2 2" xfId="16979" xr:uid="{14E09775-6EC8-41E4-B319-AFDBF54AE787}"/>
    <cellStyle name="Normal 4 2 4 4 5 2 3" xfId="12761" xr:uid="{B942C02D-394D-4A7D-A373-A2F477827D5F}"/>
    <cellStyle name="Normal 4 2 4 4 5 3" xfId="6392" xr:uid="{00000000-0005-0000-0000-0000B5130000}"/>
    <cellStyle name="Normal 4 2 4 4 5 3 2" xfId="14834" xr:uid="{AA010CFF-6C28-4D4D-9AED-24B503DE6F88}"/>
    <cellStyle name="Normal 4 2 4 4 5 4" xfId="10616" xr:uid="{5844DC2D-FF43-479E-B6C7-95382C47A325}"/>
    <cellStyle name="Normal 4 2 4 4 6" xfId="2521" xr:uid="{00000000-0005-0000-0000-0000B6130000}"/>
    <cellStyle name="Normal 4 2 4 4 6 2" xfId="6805" xr:uid="{00000000-0005-0000-0000-0000B7130000}"/>
    <cellStyle name="Normal 4 2 4 4 6 2 2" xfId="15247" xr:uid="{172C6A5B-864C-4124-AA10-9A4E7BF700E8}"/>
    <cellStyle name="Normal 4 2 4 4 6 3" xfId="11029" xr:uid="{0C11ED31-E15C-4BFA-9F2C-18E9F6F221BF}"/>
    <cellStyle name="Normal 4 2 4 4 7" xfId="4740" xr:uid="{00000000-0005-0000-0000-0000B8130000}"/>
    <cellStyle name="Normal 4 2 4 4 7 2" xfId="13182" xr:uid="{B9EA0413-7B9E-4A8E-BDF1-4D9B77D963BF}"/>
    <cellStyle name="Normal 4 2 4 4 8" xfId="8964" xr:uid="{13BABA30-7C94-4DEF-B09F-508B9D4C851B}"/>
    <cellStyle name="Normal 4 2 4 5" xfId="831" xr:uid="{00000000-0005-0000-0000-0000B9130000}"/>
    <cellStyle name="Normal 4 2 4 5 2" xfId="3068" xr:uid="{00000000-0005-0000-0000-0000BA130000}"/>
    <cellStyle name="Normal 4 2 4 5 2 2" xfId="7291" xr:uid="{00000000-0005-0000-0000-0000BB130000}"/>
    <cellStyle name="Normal 4 2 4 5 2 2 2" xfId="15733" xr:uid="{F66523AD-8BBD-41EB-801F-2EDE3E0C7530}"/>
    <cellStyle name="Normal 4 2 4 5 2 3" xfId="11515" xr:uid="{4A5F00E2-A7C4-4957-BE53-DE48754BB8D0}"/>
    <cellStyle name="Normal 4 2 4 5 3" xfId="5146" xr:uid="{00000000-0005-0000-0000-0000BC130000}"/>
    <cellStyle name="Normal 4 2 4 5 3 2" xfId="13588" xr:uid="{32FF744A-D50C-4F57-8EA2-CEF612530479}"/>
    <cellStyle name="Normal 4 2 4 5 4" xfId="9370" xr:uid="{FFBA2475-CDB1-4F42-B4A3-9F14363C8238}"/>
    <cellStyle name="Normal 4 2 4 6" xfId="1251" xr:uid="{00000000-0005-0000-0000-0000BD130000}"/>
    <cellStyle name="Normal 4 2 4 6 2" xfId="3481" xr:uid="{00000000-0005-0000-0000-0000BE130000}"/>
    <cellStyle name="Normal 4 2 4 6 2 2" xfId="7704" xr:uid="{00000000-0005-0000-0000-0000BF130000}"/>
    <cellStyle name="Normal 4 2 4 6 2 2 2" xfId="16146" xr:uid="{70D89A3B-F1E4-4332-80E5-22DE04F92F2A}"/>
    <cellStyle name="Normal 4 2 4 6 2 3" xfId="11928" xr:uid="{464A1AE2-38DD-4E53-B269-645E58979302}"/>
    <cellStyle name="Normal 4 2 4 6 3" xfId="5559" xr:uid="{00000000-0005-0000-0000-0000C0130000}"/>
    <cellStyle name="Normal 4 2 4 6 3 2" xfId="14001" xr:uid="{85C5E66F-BD12-4BEB-80CD-8D5695C3EC1A}"/>
    <cellStyle name="Normal 4 2 4 6 4" xfId="9783" xr:uid="{FE5770DB-31A2-4859-9802-8FFD890F3AEA}"/>
    <cellStyle name="Normal 4 2 4 7" xfId="1664" xr:uid="{00000000-0005-0000-0000-0000C1130000}"/>
    <cellStyle name="Normal 4 2 4 7 2" xfId="3894" xr:uid="{00000000-0005-0000-0000-0000C2130000}"/>
    <cellStyle name="Normal 4 2 4 7 2 2" xfId="8117" xr:uid="{00000000-0005-0000-0000-0000C3130000}"/>
    <cellStyle name="Normal 4 2 4 7 2 2 2" xfId="16559" xr:uid="{4CD820F7-D916-41A4-948D-312D6A5A9A4C}"/>
    <cellStyle name="Normal 4 2 4 7 2 3" xfId="12341" xr:uid="{730D8C15-ADF8-4D1F-A204-F8A7871E1C74}"/>
    <cellStyle name="Normal 4 2 4 7 3" xfId="5972" xr:uid="{00000000-0005-0000-0000-0000C4130000}"/>
    <cellStyle name="Normal 4 2 4 7 3 2" xfId="14414" xr:uid="{CF191DBF-8004-4762-806A-E957D8E76E0F}"/>
    <cellStyle name="Normal 4 2 4 7 4" xfId="10196" xr:uid="{8891B60E-C7F8-4B92-936C-9787DC1B01DF}"/>
    <cellStyle name="Normal 4 2 4 8" xfId="2078" xr:uid="{00000000-0005-0000-0000-0000C5130000}"/>
    <cellStyle name="Normal 4 2 4 8 2" xfId="4307" xr:uid="{00000000-0005-0000-0000-0000C6130000}"/>
    <cellStyle name="Normal 4 2 4 8 2 2" xfId="8530" xr:uid="{00000000-0005-0000-0000-0000C7130000}"/>
    <cellStyle name="Normal 4 2 4 8 2 2 2" xfId="16972" xr:uid="{DCB30C8C-B7C2-4A5B-99C4-9DCC8879BBBB}"/>
    <cellStyle name="Normal 4 2 4 8 2 3" xfId="12754" xr:uid="{459A4CFD-A77B-4056-986F-11CE7EC60936}"/>
    <cellStyle name="Normal 4 2 4 8 3" xfId="6385" xr:uid="{00000000-0005-0000-0000-0000C8130000}"/>
    <cellStyle name="Normal 4 2 4 8 3 2" xfId="14827" xr:uid="{379AC6AA-B0D9-48B8-AB91-189A1EE2F1FE}"/>
    <cellStyle name="Normal 4 2 4 8 4" xfId="10609" xr:uid="{28A18726-7E50-419E-ACB1-E0F53BF673D9}"/>
    <cellStyle name="Normal 4 2 4 9" xfId="2514" xr:uid="{00000000-0005-0000-0000-0000C9130000}"/>
    <cellStyle name="Normal 4 2 4 9 2" xfId="6798" xr:uid="{00000000-0005-0000-0000-0000CA130000}"/>
    <cellStyle name="Normal 4 2 4 9 2 2" xfId="15240" xr:uid="{A4D93425-8A5D-4DEC-95AA-DABB31463F11}"/>
    <cellStyle name="Normal 4 2 4 9 3" xfId="11022" xr:uid="{83C09E48-9F21-41B2-B500-2F2AE823D336}"/>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2 2 2" xfId="15742" xr:uid="{4D0EA49B-0584-49E4-8B2A-7ACA9C2A2EC7}"/>
    <cellStyle name="Normal 4 2 5 2 2 2 3" xfId="11524" xr:uid="{177785A5-6981-4F3C-AA66-132F0029871F}"/>
    <cellStyle name="Normal 4 2 5 2 2 3" xfId="5155" xr:uid="{00000000-0005-0000-0000-0000D0130000}"/>
    <cellStyle name="Normal 4 2 5 2 2 3 2" xfId="13597" xr:uid="{9A47DAB0-09B2-407B-91D8-40D4366E88C8}"/>
    <cellStyle name="Normal 4 2 5 2 2 4" xfId="9379" xr:uid="{CD7C8451-2BB2-4092-BC04-CE1D1D004660}"/>
    <cellStyle name="Normal 4 2 5 2 3" xfId="1260" xr:uid="{00000000-0005-0000-0000-0000D1130000}"/>
    <cellStyle name="Normal 4 2 5 2 3 2" xfId="3490" xr:uid="{00000000-0005-0000-0000-0000D2130000}"/>
    <cellStyle name="Normal 4 2 5 2 3 2 2" xfId="7713" xr:uid="{00000000-0005-0000-0000-0000D3130000}"/>
    <cellStyle name="Normal 4 2 5 2 3 2 2 2" xfId="16155" xr:uid="{52F11AAD-E85A-4DD7-A50B-07244AE5162B}"/>
    <cellStyle name="Normal 4 2 5 2 3 2 3" xfId="11937" xr:uid="{19AFFD6D-039C-48AC-BD41-60D3BB7A84DE}"/>
    <cellStyle name="Normal 4 2 5 2 3 3" xfId="5568" xr:uid="{00000000-0005-0000-0000-0000D4130000}"/>
    <cellStyle name="Normal 4 2 5 2 3 3 2" xfId="14010" xr:uid="{AD387178-3A99-4ECE-BB97-351C33FB14BB}"/>
    <cellStyle name="Normal 4 2 5 2 3 4" xfId="9792" xr:uid="{B2CD3057-0C46-48FD-9B27-70E0E4FD2992}"/>
    <cellStyle name="Normal 4 2 5 2 4" xfId="1673" xr:uid="{00000000-0005-0000-0000-0000D5130000}"/>
    <cellStyle name="Normal 4 2 5 2 4 2" xfId="3903" xr:uid="{00000000-0005-0000-0000-0000D6130000}"/>
    <cellStyle name="Normal 4 2 5 2 4 2 2" xfId="8126" xr:uid="{00000000-0005-0000-0000-0000D7130000}"/>
    <cellStyle name="Normal 4 2 5 2 4 2 2 2" xfId="16568" xr:uid="{A31740A1-75D8-47BB-B4EB-C0D06C47D7B7}"/>
    <cellStyle name="Normal 4 2 5 2 4 2 3" xfId="12350" xr:uid="{847F0CBA-4BEC-4974-B7E2-17671234BEFF}"/>
    <cellStyle name="Normal 4 2 5 2 4 3" xfId="5981" xr:uid="{00000000-0005-0000-0000-0000D8130000}"/>
    <cellStyle name="Normal 4 2 5 2 4 3 2" xfId="14423" xr:uid="{BB89B0DC-CFEC-403D-BC9A-3A25BACD9672}"/>
    <cellStyle name="Normal 4 2 5 2 4 4" xfId="10205" xr:uid="{152F317E-57E5-43E3-BA1C-D49FDF8B7013}"/>
    <cellStyle name="Normal 4 2 5 2 5" xfId="2087" xr:uid="{00000000-0005-0000-0000-0000D9130000}"/>
    <cellStyle name="Normal 4 2 5 2 5 2" xfId="4316" xr:uid="{00000000-0005-0000-0000-0000DA130000}"/>
    <cellStyle name="Normal 4 2 5 2 5 2 2" xfId="8539" xr:uid="{00000000-0005-0000-0000-0000DB130000}"/>
    <cellStyle name="Normal 4 2 5 2 5 2 2 2" xfId="16981" xr:uid="{21942C4C-1788-47E7-B507-9C52B8A33F85}"/>
    <cellStyle name="Normal 4 2 5 2 5 2 3" xfId="12763" xr:uid="{4589EA6D-7C04-4565-BDB2-C0B2B805FE05}"/>
    <cellStyle name="Normal 4 2 5 2 5 3" xfId="6394" xr:uid="{00000000-0005-0000-0000-0000DC130000}"/>
    <cellStyle name="Normal 4 2 5 2 5 3 2" xfId="14836" xr:uid="{5BA363C9-2239-4DA3-8ADC-8B9AB65D8A0B}"/>
    <cellStyle name="Normal 4 2 5 2 5 4" xfId="10618" xr:uid="{5B56FF85-20C4-48C9-A2AB-EA82657F067F}"/>
    <cellStyle name="Normal 4 2 5 2 6" xfId="2523" xr:uid="{00000000-0005-0000-0000-0000DD130000}"/>
    <cellStyle name="Normal 4 2 5 2 6 2" xfId="6807" xr:uid="{00000000-0005-0000-0000-0000DE130000}"/>
    <cellStyle name="Normal 4 2 5 2 6 2 2" xfId="15249" xr:uid="{5CA517F3-442C-4160-B7B3-18739FC5F937}"/>
    <cellStyle name="Normal 4 2 5 2 6 3" xfId="11031" xr:uid="{49F65E7E-4939-4BD3-AFD9-2F07668DA06D}"/>
    <cellStyle name="Normal 4 2 5 2 7" xfId="4742" xr:uid="{00000000-0005-0000-0000-0000DF130000}"/>
    <cellStyle name="Normal 4 2 5 2 7 2" xfId="13184" xr:uid="{A27D37C6-DAB4-4FAC-93BC-693116E5D087}"/>
    <cellStyle name="Normal 4 2 5 2 8" xfId="8966" xr:uid="{D564F54B-F06B-4321-8DEC-BC4555817A39}"/>
    <cellStyle name="Normal 4 2 5 3" xfId="839" xr:uid="{00000000-0005-0000-0000-0000E0130000}"/>
    <cellStyle name="Normal 4 2 5 3 2" xfId="3076" xr:uid="{00000000-0005-0000-0000-0000E1130000}"/>
    <cellStyle name="Normal 4 2 5 3 2 2" xfId="7299" xr:uid="{00000000-0005-0000-0000-0000E2130000}"/>
    <cellStyle name="Normal 4 2 5 3 2 2 2" xfId="15741" xr:uid="{707697A5-98DA-46D9-A7E4-22EEA1BE94C2}"/>
    <cellStyle name="Normal 4 2 5 3 2 3" xfId="11523" xr:uid="{3DB6FEDD-07F6-4083-999E-62C737EAB999}"/>
    <cellStyle name="Normal 4 2 5 3 3" xfId="5154" xr:uid="{00000000-0005-0000-0000-0000E3130000}"/>
    <cellStyle name="Normal 4 2 5 3 3 2" xfId="13596" xr:uid="{FE919F18-37BA-422C-8ED5-5949694EA7C4}"/>
    <cellStyle name="Normal 4 2 5 3 4" xfId="9378" xr:uid="{4FF149C9-B5D4-47B7-96D5-6E3E36912D71}"/>
    <cellStyle name="Normal 4 2 5 4" xfId="1259" xr:uid="{00000000-0005-0000-0000-0000E4130000}"/>
    <cellStyle name="Normal 4 2 5 4 2" xfId="3489" xr:uid="{00000000-0005-0000-0000-0000E5130000}"/>
    <cellStyle name="Normal 4 2 5 4 2 2" xfId="7712" xr:uid="{00000000-0005-0000-0000-0000E6130000}"/>
    <cellStyle name="Normal 4 2 5 4 2 2 2" xfId="16154" xr:uid="{8C641FFF-2770-4B4A-94D9-B6AD8FDF6478}"/>
    <cellStyle name="Normal 4 2 5 4 2 3" xfId="11936" xr:uid="{516EB9A7-B538-486B-A2DD-12177C511868}"/>
    <cellStyle name="Normal 4 2 5 4 3" xfId="5567" xr:uid="{00000000-0005-0000-0000-0000E7130000}"/>
    <cellStyle name="Normal 4 2 5 4 3 2" xfId="14009" xr:uid="{F476C334-04AB-4623-875F-DFD137286AEC}"/>
    <cellStyle name="Normal 4 2 5 4 4" xfId="9791" xr:uid="{9179F336-4BC8-41EC-99F8-3CDE7F0E4286}"/>
    <cellStyle name="Normal 4 2 5 5" xfId="1672" xr:uid="{00000000-0005-0000-0000-0000E8130000}"/>
    <cellStyle name="Normal 4 2 5 5 2" xfId="3902" xr:uid="{00000000-0005-0000-0000-0000E9130000}"/>
    <cellStyle name="Normal 4 2 5 5 2 2" xfId="8125" xr:uid="{00000000-0005-0000-0000-0000EA130000}"/>
    <cellStyle name="Normal 4 2 5 5 2 2 2" xfId="16567" xr:uid="{F6C36AFE-F3E5-4A7F-9900-E3A4064D4FE3}"/>
    <cellStyle name="Normal 4 2 5 5 2 3" xfId="12349" xr:uid="{251D7B08-39C8-4990-8EB6-AA3FB3787A40}"/>
    <cellStyle name="Normal 4 2 5 5 3" xfId="5980" xr:uid="{00000000-0005-0000-0000-0000EB130000}"/>
    <cellStyle name="Normal 4 2 5 5 3 2" xfId="14422" xr:uid="{48666283-4843-4746-B192-618CDFE33488}"/>
    <cellStyle name="Normal 4 2 5 5 4" xfId="10204" xr:uid="{497A2886-DC3D-45B2-A492-A0350EA997FF}"/>
    <cellStyle name="Normal 4 2 5 6" xfId="2086" xr:uid="{00000000-0005-0000-0000-0000EC130000}"/>
    <cellStyle name="Normal 4 2 5 6 2" xfId="4315" xr:uid="{00000000-0005-0000-0000-0000ED130000}"/>
    <cellStyle name="Normal 4 2 5 6 2 2" xfId="8538" xr:uid="{00000000-0005-0000-0000-0000EE130000}"/>
    <cellStyle name="Normal 4 2 5 6 2 2 2" xfId="16980" xr:uid="{1347567F-ED39-47D2-BAAE-E0BEB31BF75E}"/>
    <cellStyle name="Normal 4 2 5 6 2 3" xfId="12762" xr:uid="{D0AF62BD-3549-4127-A97D-05867B62F645}"/>
    <cellStyle name="Normal 4 2 5 6 3" xfId="6393" xr:uid="{00000000-0005-0000-0000-0000EF130000}"/>
    <cellStyle name="Normal 4 2 5 6 3 2" xfId="14835" xr:uid="{90E2D458-C698-4587-A2EE-345A8E6039C9}"/>
    <cellStyle name="Normal 4 2 5 6 4" xfId="10617" xr:uid="{C0707BBB-C237-40CC-AE0F-FF9661C71D78}"/>
    <cellStyle name="Normal 4 2 5 7" xfId="2522" xr:uid="{00000000-0005-0000-0000-0000F0130000}"/>
    <cellStyle name="Normal 4 2 5 7 2" xfId="6806" xr:uid="{00000000-0005-0000-0000-0000F1130000}"/>
    <cellStyle name="Normal 4 2 5 7 2 2" xfId="15248" xr:uid="{792B8E4D-53DA-4418-9CF0-88225D01364C}"/>
    <cellStyle name="Normal 4 2 5 7 3" xfId="11030" xr:uid="{46159C52-8D5E-421B-9292-5EBDF4C23332}"/>
    <cellStyle name="Normal 4 2 5 8" xfId="4741" xr:uid="{00000000-0005-0000-0000-0000F2130000}"/>
    <cellStyle name="Normal 4 2 5 8 2" xfId="13183" xr:uid="{0C8D448A-70E6-406D-AAE3-68E4295A1A31}"/>
    <cellStyle name="Normal 4 2 5 9" xfId="8965" xr:uid="{9FE67CE4-F148-4D49-AA9A-A1678056295E}"/>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2 2 2" xfId="15743" xr:uid="{8C861E84-B69D-49AA-8716-76D728F78D75}"/>
    <cellStyle name="Normal 4 2 6 2 2 3" xfId="11525" xr:uid="{1AB02D68-BDD1-45ED-9B34-424A9385D0BB}"/>
    <cellStyle name="Normal 4 2 6 2 3" xfId="5156" xr:uid="{00000000-0005-0000-0000-0000F7130000}"/>
    <cellStyle name="Normal 4 2 6 2 3 2" xfId="13598" xr:uid="{ED03B5E2-DBF6-42CD-BC1F-9EB4292F038D}"/>
    <cellStyle name="Normal 4 2 6 2 4" xfId="9380" xr:uid="{058BD3E7-1A08-46F7-9849-F5FCFAC7419E}"/>
    <cellStyle name="Normal 4 2 6 3" xfId="1261" xr:uid="{00000000-0005-0000-0000-0000F8130000}"/>
    <cellStyle name="Normal 4 2 6 3 2" xfId="3491" xr:uid="{00000000-0005-0000-0000-0000F9130000}"/>
    <cellStyle name="Normal 4 2 6 3 2 2" xfId="7714" xr:uid="{00000000-0005-0000-0000-0000FA130000}"/>
    <cellStyle name="Normal 4 2 6 3 2 2 2" xfId="16156" xr:uid="{A3394DFF-ECEF-444D-B6CF-41ED31CFBC3D}"/>
    <cellStyle name="Normal 4 2 6 3 2 3" xfId="11938" xr:uid="{81F8E8C8-F01C-4FB4-86F9-CC5E35EEFA80}"/>
    <cellStyle name="Normal 4 2 6 3 3" xfId="5569" xr:uid="{00000000-0005-0000-0000-0000FB130000}"/>
    <cellStyle name="Normal 4 2 6 3 3 2" xfId="14011" xr:uid="{885939ED-CEC4-4B13-992F-F656AEAB1611}"/>
    <cellStyle name="Normal 4 2 6 3 4" xfId="9793" xr:uid="{90B56343-41AE-4C84-B675-13E55FE91646}"/>
    <cellStyle name="Normal 4 2 6 4" xfId="1674" xr:uid="{00000000-0005-0000-0000-0000FC130000}"/>
    <cellStyle name="Normal 4 2 6 4 2" xfId="3904" xr:uid="{00000000-0005-0000-0000-0000FD130000}"/>
    <cellStyle name="Normal 4 2 6 4 2 2" xfId="8127" xr:uid="{00000000-0005-0000-0000-0000FE130000}"/>
    <cellStyle name="Normal 4 2 6 4 2 2 2" xfId="16569" xr:uid="{73281335-1677-4059-8EF0-20B86631F6B5}"/>
    <cellStyle name="Normal 4 2 6 4 2 3" xfId="12351" xr:uid="{7D8E20E5-7688-494B-8F9B-16F7D3A26F62}"/>
    <cellStyle name="Normal 4 2 6 4 3" xfId="5982" xr:uid="{00000000-0005-0000-0000-0000FF130000}"/>
    <cellStyle name="Normal 4 2 6 4 3 2" xfId="14424" xr:uid="{236688B1-BC9C-4905-9FFB-F3083D43B630}"/>
    <cellStyle name="Normal 4 2 6 4 4" xfId="10206" xr:uid="{D446356B-A3E4-4043-826B-EC7E8E1931A0}"/>
    <cellStyle name="Normal 4 2 6 5" xfId="2088" xr:uid="{00000000-0005-0000-0000-000000140000}"/>
    <cellStyle name="Normal 4 2 6 5 2" xfId="4317" xr:uid="{00000000-0005-0000-0000-000001140000}"/>
    <cellStyle name="Normal 4 2 6 5 2 2" xfId="8540" xr:uid="{00000000-0005-0000-0000-000002140000}"/>
    <cellStyle name="Normal 4 2 6 5 2 2 2" xfId="16982" xr:uid="{B237E286-A4A3-4567-BFB4-9D0AFBBD1AA2}"/>
    <cellStyle name="Normal 4 2 6 5 2 3" xfId="12764" xr:uid="{804F7EE5-01D6-40F7-AF65-699CDEF136EF}"/>
    <cellStyle name="Normal 4 2 6 5 3" xfId="6395" xr:uid="{00000000-0005-0000-0000-000003140000}"/>
    <cellStyle name="Normal 4 2 6 5 3 2" xfId="14837" xr:uid="{A1BA69B5-96A1-4B48-8CC1-AB7B32BAFBC7}"/>
    <cellStyle name="Normal 4 2 6 5 4" xfId="10619" xr:uid="{5BC8AAB7-108C-4C46-B01B-6319DBBA685A}"/>
    <cellStyle name="Normal 4 2 6 6" xfId="2524" xr:uid="{00000000-0005-0000-0000-000004140000}"/>
    <cellStyle name="Normal 4 2 6 6 2" xfId="6808" xr:uid="{00000000-0005-0000-0000-000005140000}"/>
    <cellStyle name="Normal 4 2 6 6 2 2" xfId="15250" xr:uid="{7B6E0A1A-9371-42A7-93E9-F7A363E94598}"/>
    <cellStyle name="Normal 4 2 6 6 3" xfId="11032" xr:uid="{ADF8C2F8-6470-4BBD-A620-811D58786A40}"/>
    <cellStyle name="Normal 4 2 6 7" xfId="4743" xr:uid="{00000000-0005-0000-0000-000006140000}"/>
    <cellStyle name="Normal 4 2 6 7 2" xfId="13185" xr:uid="{F078441C-3EE0-46E2-AE03-10A7D02A1C05}"/>
    <cellStyle name="Normal 4 2 6 8" xfId="8967" xr:uid="{99F61357-85A2-4FC3-BA06-E95A13D9D7CD}"/>
    <cellStyle name="Normal 4 3" xfId="366" xr:uid="{00000000-0005-0000-0000-000007140000}"/>
    <cellStyle name="Normal 4 3 10" xfId="8968" xr:uid="{C26455D1-D6BA-484A-9639-713E7F1EBD13}"/>
    <cellStyle name="Normal 4 3 2" xfId="367" xr:uid="{00000000-0005-0000-0000-000008140000}"/>
    <cellStyle name="Normal 4 3 2 2" xfId="368" xr:uid="{00000000-0005-0000-0000-000009140000}"/>
    <cellStyle name="Normal 4 3 2 2 2" xfId="369" xr:uid="{00000000-0005-0000-0000-00000A140000}"/>
    <cellStyle name="Normal 4 3 2 2 2 10" xfId="8969" xr:uid="{7C1FEB45-0584-4755-85F3-25A768CBD81D}"/>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2 2 2" xfId="15747" xr:uid="{95FCE17F-5FF4-4558-8568-CAE08764114C}"/>
    <cellStyle name="Normal 4 3 2 2 2 2 2 2 2 3" xfId="11529" xr:uid="{3BA40D88-A0F1-4D38-A0D1-60EE16457E82}"/>
    <cellStyle name="Normal 4 3 2 2 2 2 2 2 3" xfId="5160" xr:uid="{00000000-0005-0000-0000-000010140000}"/>
    <cellStyle name="Normal 4 3 2 2 2 2 2 2 3 2" xfId="13602" xr:uid="{0982D0BB-888B-4D16-BE9E-C33B3E01C65D}"/>
    <cellStyle name="Normal 4 3 2 2 2 2 2 2 4" xfId="9384" xr:uid="{578211E4-5C2D-498F-8D4E-7E164441825B}"/>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2 2 2" xfId="16160" xr:uid="{39BA542F-7665-4B8C-A9D7-7E599AD1FD54}"/>
    <cellStyle name="Normal 4 3 2 2 2 2 2 3 2 3" xfId="11942" xr:uid="{7944E56C-E234-4AA3-935B-E48192F27907}"/>
    <cellStyle name="Normal 4 3 2 2 2 2 2 3 3" xfId="5573" xr:uid="{00000000-0005-0000-0000-000014140000}"/>
    <cellStyle name="Normal 4 3 2 2 2 2 2 3 3 2" xfId="14015" xr:uid="{1EEAF105-C259-4827-9BFB-F5D096B629E2}"/>
    <cellStyle name="Normal 4 3 2 2 2 2 2 3 4" xfId="9797" xr:uid="{EDCC02BB-E332-4E79-8E9A-839645AB1FED}"/>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2 2 2" xfId="16573" xr:uid="{2CC5D3E2-86C2-4285-843D-E83012B5026B}"/>
    <cellStyle name="Normal 4 3 2 2 2 2 2 4 2 3" xfId="12355" xr:uid="{DBE00E9B-8339-49E7-99A7-7E098EF66F3C}"/>
    <cellStyle name="Normal 4 3 2 2 2 2 2 4 3" xfId="5986" xr:uid="{00000000-0005-0000-0000-000018140000}"/>
    <cellStyle name="Normal 4 3 2 2 2 2 2 4 3 2" xfId="14428" xr:uid="{FD790B2F-6ACC-4D68-B1EF-AC19FBE03385}"/>
    <cellStyle name="Normal 4 3 2 2 2 2 2 4 4" xfId="10210" xr:uid="{E4FC63FD-5B8F-4BFF-8F85-CB58C8C68CDD}"/>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2 2 2" xfId="16986" xr:uid="{6C80B974-700B-44FA-9C0A-AA1C5B112918}"/>
    <cellStyle name="Normal 4 3 2 2 2 2 2 5 2 3" xfId="12768" xr:uid="{1A0CCED6-E0C3-48D5-BB62-810E6280305D}"/>
    <cellStyle name="Normal 4 3 2 2 2 2 2 5 3" xfId="6399" xr:uid="{00000000-0005-0000-0000-00001C140000}"/>
    <cellStyle name="Normal 4 3 2 2 2 2 2 5 3 2" xfId="14841" xr:uid="{77D66F79-F292-4FEC-B865-229A662079A0}"/>
    <cellStyle name="Normal 4 3 2 2 2 2 2 5 4" xfId="10623" xr:uid="{F6696409-B97E-4BB0-B124-CAD0CBB016C3}"/>
    <cellStyle name="Normal 4 3 2 2 2 2 2 6" xfId="2528" xr:uid="{00000000-0005-0000-0000-00001D140000}"/>
    <cellStyle name="Normal 4 3 2 2 2 2 2 6 2" xfId="6812" xr:uid="{00000000-0005-0000-0000-00001E140000}"/>
    <cellStyle name="Normal 4 3 2 2 2 2 2 6 2 2" xfId="15254" xr:uid="{2EF1DC96-B65F-415F-9FF5-9EE2223B8980}"/>
    <cellStyle name="Normal 4 3 2 2 2 2 2 6 3" xfId="11036" xr:uid="{CB8B1753-D046-494E-8913-92DE0D6A1D45}"/>
    <cellStyle name="Normal 4 3 2 2 2 2 2 7" xfId="4747" xr:uid="{00000000-0005-0000-0000-00001F140000}"/>
    <cellStyle name="Normal 4 3 2 2 2 2 2 7 2" xfId="13189" xr:uid="{FA9FBA76-0EE7-4A53-B3BA-3A55FDBC737F}"/>
    <cellStyle name="Normal 4 3 2 2 2 2 2 8" xfId="8971" xr:uid="{9DEF4116-9E11-4333-BAC2-01A501AB99BB}"/>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2 2 2" xfId="15746" xr:uid="{BBD54067-4BF0-4E86-9535-ABD6C7ACCB44}"/>
    <cellStyle name="Normal 4 3 2 2 2 2 3 2 3" xfId="11528" xr:uid="{44EF8277-D22A-4C8B-9DF7-1EF90993AEB1}"/>
    <cellStyle name="Normal 4 3 2 2 2 2 3 3" xfId="5159" xr:uid="{00000000-0005-0000-0000-000023140000}"/>
    <cellStyle name="Normal 4 3 2 2 2 2 3 3 2" xfId="13601" xr:uid="{9FBD8061-836D-4C17-8F5A-0232E63784F8}"/>
    <cellStyle name="Normal 4 3 2 2 2 2 3 4" xfId="9383" xr:uid="{BE7D2388-E6F7-4983-BC41-185AF15FAD1E}"/>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2 2 2" xfId="16159" xr:uid="{8F32A085-6306-4F42-98EE-3AAAAE45968B}"/>
    <cellStyle name="Normal 4 3 2 2 2 2 4 2 3" xfId="11941" xr:uid="{D9AD8495-3AC8-4C31-A377-E2092515E3C8}"/>
    <cellStyle name="Normal 4 3 2 2 2 2 4 3" xfId="5572" xr:uid="{00000000-0005-0000-0000-000027140000}"/>
    <cellStyle name="Normal 4 3 2 2 2 2 4 3 2" xfId="14014" xr:uid="{9403EAA2-6B4C-4D6C-9450-153A0B413284}"/>
    <cellStyle name="Normal 4 3 2 2 2 2 4 4" xfId="9796" xr:uid="{4EEF3AC3-F0A6-4A89-9789-1B4A1E78ED82}"/>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2 2 2" xfId="16572" xr:uid="{77232C61-A11E-464E-B424-C9A4FF3DB73C}"/>
    <cellStyle name="Normal 4 3 2 2 2 2 5 2 3" xfId="12354" xr:uid="{EFC7DBBD-02A0-40B2-8401-A403AF832032}"/>
    <cellStyle name="Normal 4 3 2 2 2 2 5 3" xfId="5985" xr:uid="{00000000-0005-0000-0000-00002B140000}"/>
    <cellStyle name="Normal 4 3 2 2 2 2 5 3 2" xfId="14427" xr:uid="{CC43F81D-A35F-46DE-B933-08342F73C740}"/>
    <cellStyle name="Normal 4 3 2 2 2 2 5 4" xfId="10209" xr:uid="{5D8D02E5-8C77-45A2-9135-94ED8B299537}"/>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2 2 2" xfId="16985" xr:uid="{D136827D-ADDF-482B-83D2-C1C776F291F7}"/>
    <cellStyle name="Normal 4 3 2 2 2 2 6 2 3" xfId="12767" xr:uid="{EFD982C2-B293-465E-9CF5-CCBA5C1D6B9C}"/>
    <cellStyle name="Normal 4 3 2 2 2 2 6 3" xfId="6398" xr:uid="{00000000-0005-0000-0000-00002F140000}"/>
    <cellStyle name="Normal 4 3 2 2 2 2 6 3 2" xfId="14840" xr:uid="{2201382B-FF5E-42ED-9A51-53C58D8292B9}"/>
    <cellStyle name="Normal 4 3 2 2 2 2 6 4" xfId="10622" xr:uid="{E248A42A-2F15-44D3-8393-41E714FB9ADD}"/>
    <cellStyle name="Normal 4 3 2 2 2 2 7" xfId="2527" xr:uid="{00000000-0005-0000-0000-000030140000}"/>
    <cellStyle name="Normal 4 3 2 2 2 2 7 2" xfId="6811" xr:uid="{00000000-0005-0000-0000-000031140000}"/>
    <cellStyle name="Normal 4 3 2 2 2 2 7 2 2" xfId="15253" xr:uid="{2B1FE84E-4AB0-4706-B193-7F703EECB0C4}"/>
    <cellStyle name="Normal 4 3 2 2 2 2 7 3" xfId="11035" xr:uid="{91807F55-83AC-4313-A6BB-821215DFCE1B}"/>
    <cellStyle name="Normal 4 3 2 2 2 2 8" xfId="4746" xr:uid="{00000000-0005-0000-0000-000032140000}"/>
    <cellStyle name="Normal 4 3 2 2 2 2 8 2" xfId="13188" xr:uid="{A5123377-33A3-4B06-90C2-97A79F21792B}"/>
    <cellStyle name="Normal 4 3 2 2 2 2 9" xfId="8970" xr:uid="{E11F3EC5-42F6-4579-A872-09BE03DB2B12}"/>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2 2 2" xfId="15748" xr:uid="{2131148F-12B7-40BF-B802-CBD75123EC90}"/>
    <cellStyle name="Normal 4 3 2 2 2 3 2 2 3" xfId="11530" xr:uid="{30335B94-EF94-4A2E-BC00-F8126B48E927}"/>
    <cellStyle name="Normal 4 3 2 2 2 3 2 3" xfId="5161" xr:uid="{00000000-0005-0000-0000-000037140000}"/>
    <cellStyle name="Normal 4 3 2 2 2 3 2 3 2" xfId="13603" xr:uid="{9D9B92F6-85A2-43D7-91CA-8DBDF4DB40F4}"/>
    <cellStyle name="Normal 4 3 2 2 2 3 2 4" xfId="9385" xr:uid="{D347DDE3-4468-4BDB-9AC6-D459D51CFA3B}"/>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2 2 2" xfId="16161" xr:uid="{873F3AD6-9A1D-495E-B965-0F1B90E40099}"/>
    <cellStyle name="Normal 4 3 2 2 2 3 3 2 3" xfId="11943" xr:uid="{25B651C4-C848-44AC-85D6-2A25A25A0446}"/>
    <cellStyle name="Normal 4 3 2 2 2 3 3 3" xfId="5574" xr:uid="{00000000-0005-0000-0000-00003B140000}"/>
    <cellStyle name="Normal 4 3 2 2 2 3 3 3 2" xfId="14016" xr:uid="{895AA4AD-4652-4E0E-B473-39E643F654D3}"/>
    <cellStyle name="Normal 4 3 2 2 2 3 3 4" xfId="9798" xr:uid="{9ACA080D-C9CC-4BE5-A22F-5E7D44511A7D}"/>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2 2 2" xfId="16574" xr:uid="{E2E00F11-8E65-47F7-A907-B23139F27434}"/>
    <cellStyle name="Normal 4 3 2 2 2 3 4 2 3" xfId="12356" xr:uid="{C42D95E2-7E5B-48C8-9133-D2A61D3F8C3F}"/>
    <cellStyle name="Normal 4 3 2 2 2 3 4 3" xfId="5987" xr:uid="{00000000-0005-0000-0000-00003F140000}"/>
    <cellStyle name="Normal 4 3 2 2 2 3 4 3 2" xfId="14429" xr:uid="{B731B5BB-E36F-4A34-B3D6-BC068AF74AE3}"/>
    <cellStyle name="Normal 4 3 2 2 2 3 4 4" xfId="10211" xr:uid="{C43E9967-E0D0-4004-9CD7-8F6E57D7D0FF}"/>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2 2 2" xfId="16987" xr:uid="{5B7FC38D-A248-4837-A349-18E1EF01B2B2}"/>
    <cellStyle name="Normal 4 3 2 2 2 3 5 2 3" xfId="12769" xr:uid="{83DCA647-B680-425C-855E-03D37427A48E}"/>
    <cellStyle name="Normal 4 3 2 2 2 3 5 3" xfId="6400" xr:uid="{00000000-0005-0000-0000-000043140000}"/>
    <cellStyle name="Normal 4 3 2 2 2 3 5 3 2" xfId="14842" xr:uid="{3A4A27F2-348B-45CA-B470-A14667D70427}"/>
    <cellStyle name="Normal 4 3 2 2 2 3 5 4" xfId="10624" xr:uid="{548BF316-B2E5-4AF0-AD63-D83BF259A580}"/>
    <cellStyle name="Normal 4 3 2 2 2 3 6" xfId="2529" xr:uid="{00000000-0005-0000-0000-000044140000}"/>
    <cellStyle name="Normal 4 3 2 2 2 3 6 2" xfId="6813" xr:uid="{00000000-0005-0000-0000-000045140000}"/>
    <cellStyle name="Normal 4 3 2 2 2 3 6 2 2" xfId="15255" xr:uid="{428D3A8D-CE88-45CF-BB51-3F84B7826673}"/>
    <cellStyle name="Normal 4 3 2 2 2 3 6 3" xfId="11037" xr:uid="{A9DF2287-63EA-444C-864D-0738E602CE00}"/>
    <cellStyle name="Normal 4 3 2 2 2 3 7" xfId="4748" xr:uid="{00000000-0005-0000-0000-000046140000}"/>
    <cellStyle name="Normal 4 3 2 2 2 3 7 2" xfId="13190" xr:uid="{3CFC8005-C282-4E42-910B-656340826D08}"/>
    <cellStyle name="Normal 4 3 2 2 2 3 8" xfId="8972" xr:uid="{A463214E-3B24-42A0-8E02-9D4628A596E1}"/>
    <cellStyle name="Normal 4 3 2 2 2 4" xfId="844" xr:uid="{00000000-0005-0000-0000-000047140000}"/>
    <cellStyle name="Normal 4 3 2 2 2 4 2" xfId="3080" xr:uid="{00000000-0005-0000-0000-000048140000}"/>
    <cellStyle name="Normal 4 3 2 2 2 4 2 2" xfId="7303" xr:uid="{00000000-0005-0000-0000-000049140000}"/>
    <cellStyle name="Normal 4 3 2 2 2 4 2 2 2" xfId="15745" xr:uid="{09E5A4B5-B270-4E06-93BD-C1186087D8C1}"/>
    <cellStyle name="Normal 4 3 2 2 2 4 2 3" xfId="11527" xr:uid="{97C3FD82-E151-43D2-A091-DBE48B37CDAC}"/>
    <cellStyle name="Normal 4 3 2 2 2 4 3" xfId="5158" xr:uid="{00000000-0005-0000-0000-00004A140000}"/>
    <cellStyle name="Normal 4 3 2 2 2 4 3 2" xfId="13600" xr:uid="{162659AF-F369-49E3-8491-7FC537571246}"/>
    <cellStyle name="Normal 4 3 2 2 2 4 4" xfId="9382" xr:uid="{978169FE-9CC6-4CE2-BA9E-4F6F15B81D63}"/>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2 2 2" xfId="16158" xr:uid="{A3364D55-B56E-4FBE-B016-279AC5E59577}"/>
    <cellStyle name="Normal 4 3 2 2 2 5 2 3" xfId="11940" xr:uid="{03D8D60E-77CE-401D-B2B2-F3A71C286D8C}"/>
    <cellStyle name="Normal 4 3 2 2 2 5 3" xfId="5571" xr:uid="{00000000-0005-0000-0000-00004E140000}"/>
    <cellStyle name="Normal 4 3 2 2 2 5 3 2" xfId="14013" xr:uid="{3CBB5979-F89D-4505-B573-547199027C03}"/>
    <cellStyle name="Normal 4 3 2 2 2 5 4" xfId="9795" xr:uid="{AAEA458F-DE46-42A0-87D7-B463BA306008}"/>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2 2 2" xfId="16571" xr:uid="{476C083F-EF76-4FCF-B38F-CDC459F98895}"/>
    <cellStyle name="Normal 4 3 2 2 2 6 2 3" xfId="12353" xr:uid="{F870ACD1-A052-4EE0-B26D-67273AB5B96B}"/>
    <cellStyle name="Normal 4 3 2 2 2 6 3" xfId="5984" xr:uid="{00000000-0005-0000-0000-000052140000}"/>
    <cellStyle name="Normal 4 3 2 2 2 6 3 2" xfId="14426" xr:uid="{D95DA332-93F7-43E8-91E3-479E22D3F520}"/>
    <cellStyle name="Normal 4 3 2 2 2 6 4" xfId="10208" xr:uid="{E5C7B419-7155-4A0C-8D2E-8BBB0A3C8EA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2 2 2" xfId="16984" xr:uid="{138F623D-922C-4316-BF6A-85DA8B32BECD}"/>
    <cellStyle name="Normal 4 3 2 2 2 7 2 3" xfId="12766" xr:uid="{4B212410-57B2-44A1-94B2-7BDE1302A5A6}"/>
    <cellStyle name="Normal 4 3 2 2 2 7 3" xfId="6397" xr:uid="{00000000-0005-0000-0000-000056140000}"/>
    <cellStyle name="Normal 4 3 2 2 2 7 3 2" xfId="14839" xr:uid="{8A3EC262-A3EF-4BF0-86AE-45D20357978C}"/>
    <cellStyle name="Normal 4 3 2 2 2 7 4" xfId="10621" xr:uid="{67A7FE09-1FA6-46F2-8B51-BA35F34D3770}"/>
    <cellStyle name="Normal 4 3 2 2 2 8" xfId="2526" xr:uid="{00000000-0005-0000-0000-000057140000}"/>
    <cellStyle name="Normal 4 3 2 2 2 8 2" xfId="6810" xr:uid="{00000000-0005-0000-0000-000058140000}"/>
    <cellStyle name="Normal 4 3 2 2 2 8 2 2" xfId="15252" xr:uid="{CC5E166E-F0BE-4585-B648-517B00EC5052}"/>
    <cellStyle name="Normal 4 3 2 2 2 8 3" xfId="11034" xr:uid="{46346740-BCE6-4295-B35B-C7A5EEF9433B}"/>
    <cellStyle name="Normal 4 3 2 2 2 9" xfId="4745" xr:uid="{00000000-0005-0000-0000-000059140000}"/>
    <cellStyle name="Normal 4 3 2 2 2 9 2" xfId="13187" xr:uid="{AFF8D0C8-ACC6-4DA7-9B85-3E19512E7ABB}"/>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10" xfId="8973" xr:uid="{F5AD3814-90E6-4484-9AFC-7AB884626C1D}"/>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2 2 2" xfId="15751" xr:uid="{24965080-79DC-4C53-AF51-336ADA391B24}"/>
    <cellStyle name="Normal 4 3 3 2 2 2 2 3" xfId="11533" xr:uid="{1E39B1D3-92ED-4C6A-8F20-05E64CC23C79}"/>
    <cellStyle name="Normal 4 3 3 2 2 2 3" xfId="5164" xr:uid="{00000000-0005-0000-0000-000063140000}"/>
    <cellStyle name="Normal 4 3 3 2 2 2 3 2" xfId="13606" xr:uid="{041D65BB-0BDB-42CC-8BD9-BD3ED46F39D8}"/>
    <cellStyle name="Normal 4 3 3 2 2 2 4" xfId="9388" xr:uid="{FE5A9503-DAFF-4D2D-B542-620AC9E9AE8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2 2 2" xfId="16164" xr:uid="{6E397061-479C-4F8E-AE21-14310FBE130A}"/>
    <cellStyle name="Normal 4 3 3 2 2 3 2 3" xfId="11946" xr:uid="{A1D47B40-AF33-4B8B-B496-49B77AB4327E}"/>
    <cellStyle name="Normal 4 3 3 2 2 3 3" xfId="5577" xr:uid="{00000000-0005-0000-0000-000067140000}"/>
    <cellStyle name="Normal 4 3 3 2 2 3 3 2" xfId="14019" xr:uid="{3608140A-9063-499A-9BC1-6A5AB7CA3CD6}"/>
    <cellStyle name="Normal 4 3 3 2 2 3 4" xfId="9801" xr:uid="{FB05733D-99C3-4DF1-9553-43B5E750FA6B}"/>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2 2 2" xfId="16577" xr:uid="{1F02CAEC-DCD5-4928-AE87-F6CE1F6ABBA7}"/>
    <cellStyle name="Normal 4 3 3 2 2 4 2 3" xfId="12359" xr:uid="{7FE97B2A-F78C-470B-BA2C-B31C3F72396A}"/>
    <cellStyle name="Normal 4 3 3 2 2 4 3" xfId="5990" xr:uid="{00000000-0005-0000-0000-00006B140000}"/>
    <cellStyle name="Normal 4 3 3 2 2 4 3 2" xfId="14432" xr:uid="{D8D15EBD-2911-4023-8A79-F36D17B77048}"/>
    <cellStyle name="Normal 4 3 3 2 2 4 4" xfId="10214" xr:uid="{B7C298F3-81DB-49B0-A102-768D8EC68BB8}"/>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2 2 2" xfId="16990" xr:uid="{3A6C8DD1-DFBE-437E-AED9-F4F9BAFBC225}"/>
    <cellStyle name="Normal 4 3 3 2 2 5 2 3" xfId="12772" xr:uid="{38F5BDEF-9FE9-47D4-93F2-D767CFF5B773}"/>
    <cellStyle name="Normal 4 3 3 2 2 5 3" xfId="6403" xr:uid="{00000000-0005-0000-0000-00006F140000}"/>
    <cellStyle name="Normal 4 3 3 2 2 5 3 2" xfId="14845" xr:uid="{ABA0D2FD-FDAA-430F-BBA3-713E6D637D94}"/>
    <cellStyle name="Normal 4 3 3 2 2 5 4" xfId="10627" xr:uid="{DC9F6FD3-3677-4C39-80C9-5996F16163D0}"/>
    <cellStyle name="Normal 4 3 3 2 2 6" xfId="2532" xr:uid="{00000000-0005-0000-0000-000070140000}"/>
    <cellStyle name="Normal 4 3 3 2 2 6 2" xfId="6816" xr:uid="{00000000-0005-0000-0000-000071140000}"/>
    <cellStyle name="Normal 4 3 3 2 2 6 2 2" xfId="15258" xr:uid="{B2D5A3FF-7CEF-4183-B229-24F7525F0EA7}"/>
    <cellStyle name="Normal 4 3 3 2 2 6 3" xfId="11040" xr:uid="{0335C9B1-4786-4B66-B4CF-E74E5DCB187A}"/>
    <cellStyle name="Normal 4 3 3 2 2 7" xfId="4751" xr:uid="{00000000-0005-0000-0000-000072140000}"/>
    <cellStyle name="Normal 4 3 3 2 2 7 2" xfId="13193" xr:uid="{E8F01314-4F13-4160-AF6D-3CE88E51764B}"/>
    <cellStyle name="Normal 4 3 3 2 2 8" xfId="8975" xr:uid="{20CBD3F0-0D99-40AB-8822-E1762306F288}"/>
    <cellStyle name="Normal 4 3 3 2 3" xfId="850" xr:uid="{00000000-0005-0000-0000-000073140000}"/>
    <cellStyle name="Normal 4 3 3 2 3 2" xfId="3085" xr:uid="{00000000-0005-0000-0000-000074140000}"/>
    <cellStyle name="Normal 4 3 3 2 3 2 2" xfId="7308" xr:uid="{00000000-0005-0000-0000-000075140000}"/>
    <cellStyle name="Normal 4 3 3 2 3 2 2 2" xfId="15750" xr:uid="{7C3FD91E-433A-4385-BAF3-980E6DC80875}"/>
    <cellStyle name="Normal 4 3 3 2 3 2 3" xfId="11532" xr:uid="{10516009-D5FA-4E7C-BAE4-CF584D89C5FB}"/>
    <cellStyle name="Normal 4 3 3 2 3 3" xfId="5163" xr:uid="{00000000-0005-0000-0000-000076140000}"/>
    <cellStyle name="Normal 4 3 3 2 3 3 2" xfId="13605" xr:uid="{42B9B29D-45C4-4610-8CF9-E7F6140BDAD0}"/>
    <cellStyle name="Normal 4 3 3 2 3 4" xfId="9387" xr:uid="{DCA04F7C-67E2-4A5A-8608-6BFD69AC99C1}"/>
    <cellStyle name="Normal 4 3 3 2 4" xfId="1268" xr:uid="{00000000-0005-0000-0000-000077140000}"/>
    <cellStyle name="Normal 4 3 3 2 4 2" xfId="3498" xr:uid="{00000000-0005-0000-0000-000078140000}"/>
    <cellStyle name="Normal 4 3 3 2 4 2 2" xfId="7721" xr:uid="{00000000-0005-0000-0000-000079140000}"/>
    <cellStyle name="Normal 4 3 3 2 4 2 2 2" xfId="16163" xr:uid="{25C71141-7734-4D50-8574-5BD4B09C8EF3}"/>
    <cellStyle name="Normal 4 3 3 2 4 2 3" xfId="11945" xr:uid="{29D007E8-BC7C-4C96-8754-346DE41E4844}"/>
    <cellStyle name="Normal 4 3 3 2 4 3" xfId="5576" xr:uid="{00000000-0005-0000-0000-00007A140000}"/>
    <cellStyle name="Normal 4 3 3 2 4 3 2" xfId="14018" xr:uid="{E2AB0207-00B4-43BB-9BD6-B0D9B57EF65C}"/>
    <cellStyle name="Normal 4 3 3 2 4 4" xfId="9800" xr:uid="{A68FF949-795E-4AE7-9D6D-D9FA50066DB3}"/>
    <cellStyle name="Normal 4 3 3 2 5" xfId="1681" xr:uid="{00000000-0005-0000-0000-00007B140000}"/>
    <cellStyle name="Normal 4 3 3 2 5 2" xfId="3911" xr:uid="{00000000-0005-0000-0000-00007C140000}"/>
    <cellStyle name="Normal 4 3 3 2 5 2 2" xfId="8134" xr:uid="{00000000-0005-0000-0000-00007D140000}"/>
    <cellStyle name="Normal 4 3 3 2 5 2 2 2" xfId="16576" xr:uid="{84E0C925-A26B-47C4-B6CF-A1121C3F4941}"/>
    <cellStyle name="Normal 4 3 3 2 5 2 3" xfId="12358" xr:uid="{BC10FDA0-B1E7-4D1A-BAB5-0BFEFEABBC0D}"/>
    <cellStyle name="Normal 4 3 3 2 5 3" xfId="5989" xr:uid="{00000000-0005-0000-0000-00007E140000}"/>
    <cellStyle name="Normal 4 3 3 2 5 3 2" xfId="14431" xr:uid="{9DA61F53-20CD-482C-AE51-D63D0020581E}"/>
    <cellStyle name="Normal 4 3 3 2 5 4" xfId="10213" xr:uid="{0C2A2928-F5A7-470F-8E05-828189DC223A}"/>
    <cellStyle name="Normal 4 3 3 2 6" xfId="2095" xr:uid="{00000000-0005-0000-0000-00007F140000}"/>
    <cellStyle name="Normal 4 3 3 2 6 2" xfId="4324" xr:uid="{00000000-0005-0000-0000-000080140000}"/>
    <cellStyle name="Normal 4 3 3 2 6 2 2" xfId="8547" xr:uid="{00000000-0005-0000-0000-000081140000}"/>
    <cellStyle name="Normal 4 3 3 2 6 2 2 2" xfId="16989" xr:uid="{467B5463-B771-404E-A8CD-E4C3DF70DBAA}"/>
    <cellStyle name="Normal 4 3 3 2 6 2 3" xfId="12771" xr:uid="{37A643D1-AB43-4177-A583-C6E04E53F2BD}"/>
    <cellStyle name="Normal 4 3 3 2 6 3" xfId="6402" xr:uid="{00000000-0005-0000-0000-000082140000}"/>
    <cellStyle name="Normal 4 3 3 2 6 3 2" xfId="14844" xr:uid="{6579D8E1-9362-404F-B8DC-39C0564361DB}"/>
    <cellStyle name="Normal 4 3 3 2 6 4" xfId="10626" xr:uid="{0E6594BE-5C06-4115-9763-E3291313CA2D}"/>
    <cellStyle name="Normal 4 3 3 2 7" xfId="2531" xr:uid="{00000000-0005-0000-0000-000083140000}"/>
    <cellStyle name="Normal 4 3 3 2 7 2" xfId="6815" xr:uid="{00000000-0005-0000-0000-000084140000}"/>
    <cellStyle name="Normal 4 3 3 2 7 2 2" xfId="15257" xr:uid="{FB235653-0642-4871-B1F4-B6694696F81D}"/>
    <cellStyle name="Normal 4 3 3 2 7 3" xfId="11039" xr:uid="{BA667B3A-17F9-4F6C-88B3-05DE216B1B52}"/>
    <cellStyle name="Normal 4 3 3 2 8" xfId="4750" xr:uid="{00000000-0005-0000-0000-000085140000}"/>
    <cellStyle name="Normal 4 3 3 2 8 2" xfId="13192" xr:uid="{818AC237-8340-479E-8854-E360F3A335D7}"/>
    <cellStyle name="Normal 4 3 3 2 9" xfId="8974" xr:uid="{22056A77-6E4A-405F-A3E0-24E122567F2E}"/>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2 2 2" xfId="15752" xr:uid="{3D3D18D0-6731-45EC-88EF-289C54A12AE2}"/>
    <cellStyle name="Normal 4 3 3 3 2 2 3" xfId="11534" xr:uid="{C56A4B40-75A8-4E47-8664-01BF120A2D71}"/>
    <cellStyle name="Normal 4 3 3 3 2 3" xfId="5165" xr:uid="{00000000-0005-0000-0000-00008A140000}"/>
    <cellStyle name="Normal 4 3 3 3 2 3 2" xfId="13607" xr:uid="{EA00CF51-F278-4472-9282-9A8B34030C32}"/>
    <cellStyle name="Normal 4 3 3 3 2 4" xfId="9389" xr:uid="{60F7756A-B82E-4497-A7F5-18F9BB01188C}"/>
    <cellStyle name="Normal 4 3 3 3 3" xfId="1270" xr:uid="{00000000-0005-0000-0000-00008B140000}"/>
    <cellStyle name="Normal 4 3 3 3 3 2" xfId="3500" xr:uid="{00000000-0005-0000-0000-00008C140000}"/>
    <cellStyle name="Normal 4 3 3 3 3 2 2" xfId="7723" xr:uid="{00000000-0005-0000-0000-00008D140000}"/>
    <cellStyle name="Normal 4 3 3 3 3 2 2 2" xfId="16165" xr:uid="{F9ACA135-55B2-414C-A78F-91D8987015AA}"/>
    <cellStyle name="Normal 4 3 3 3 3 2 3" xfId="11947" xr:uid="{EDF380AE-5FCA-47FF-BB66-00594740C1B7}"/>
    <cellStyle name="Normal 4 3 3 3 3 3" xfId="5578" xr:uid="{00000000-0005-0000-0000-00008E140000}"/>
    <cellStyle name="Normal 4 3 3 3 3 3 2" xfId="14020" xr:uid="{23E330FF-BD91-44D4-9246-8B07F257A500}"/>
    <cellStyle name="Normal 4 3 3 3 3 4" xfId="9802" xr:uid="{FF2D60DF-6652-4230-B48D-55A0A59BCF15}"/>
    <cellStyle name="Normal 4 3 3 3 4" xfId="1683" xr:uid="{00000000-0005-0000-0000-00008F140000}"/>
    <cellStyle name="Normal 4 3 3 3 4 2" xfId="3913" xr:uid="{00000000-0005-0000-0000-000090140000}"/>
    <cellStyle name="Normal 4 3 3 3 4 2 2" xfId="8136" xr:uid="{00000000-0005-0000-0000-000091140000}"/>
    <cellStyle name="Normal 4 3 3 3 4 2 2 2" xfId="16578" xr:uid="{200BB183-7A44-4765-ACA9-1C7DC8AFDFF2}"/>
    <cellStyle name="Normal 4 3 3 3 4 2 3" xfId="12360" xr:uid="{4DC4656C-4BBD-4475-8D0D-9AE112A0E020}"/>
    <cellStyle name="Normal 4 3 3 3 4 3" xfId="5991" xr:uid="{00000000-0005-0000-0000-000092140000}"/>
    <cellStyle name="Normal 4 3 3 3 4 3 2" xfId="14433" xr:uid="{601F81FB-6298-483B-AF30-9E7F42A327B7}"/>
    <cellStyle name="Normal 4 3 3 3 4 4" xfId="10215" xr:uid="{3F5F364C-5092-4D39-AFA0-F7048AD1F180}"/>
    <cellStyle name="Normal 4 3 3 3 5" xfId="2097" xr:uid="{00000000-0005-0000-0000-000093140000}"/>
    <cellStyle name="Normal 4 3 3 3 5 2" xfId="4326" xr:uid="{00000000-0005-0000-0000-000094140000}"/>
    <cellStyle name="Normal 4 3 3 3 5 2 2" xfId="8549" xr:uid="{00000000-0005-0000-0000-000095140000}"/>
    <cellStyle name="Normal 4 3 3 3 5 2 2 2" xfId="16991" xr:uid="{2A5B7E8D-B3EF-4B6C-8A9F-DD0BC5762CDC}"/>
    <cellStyle name="Normal 4 3 3 3 5 2 3" xfId="12773" xr:uid="{196E3171-C24E-40F5-A5D4-6E347AC2B4F5}"/>
    <cellStyle name="Normal 4 3 3 3 5 3" xfId="6404" xr:uid="{00000000-0005-0000-0000-000096140000}"/>
    <cellStyle name="Normal 4 3 3 3 5 3 2" xfId="14846" xr:uid="{B2AB978E-1DBA-4F29-9494-29ECC21948A6}"/>
    <cellStyle name="Normal 4 3 3 3 5 4" xfId="10628" xr:uid="{10A550C6-93A0-481A-992F-145F1B2936F4}"/>
    <cellStyle name="Normal 4 3 3 3 6" xfId="2533" xr:uid="{00000000-0005-0000-0000-000097140000}"/>
    <cellStyle name="Normal 4 3 3 3 6 2" xfId="6817" xr:uid="{00000000-0005-0000-0000-000098140000}"/>
    <cellStyle name="Normal 4 3 3 3 6 2 2" xfId="15259" xr:uid="{28A0EF9B-BA8A-44AB-BA2E-D31B9EECF454}"/>
    <cellStyle name="Normal 4 3 3 3 6 3" xfId="11041" xr:uid="{421162FC-3F0A-4A7D-8F23-EE72CC2ED252}"/>
    <cellStyle name="Normal 4 3 3 3 7" xfId="4752" xr:uid="{00000000-0005-0000-0000-000099140000}"/>
    <cellStyle name="Normal 4 3 3 3 7 2" xfId="13194" xr:uid="{DF978B90-8353-4E73-90D4-DE3E0A63F27F}"/>
    <cellStyle name="Normal 4 3 3 3 8" xfId="8976" xr:uid="{2B1412F4-3DAD-4B03-ABD9-FFABA291B505}"/>
    <cellStyle name="Normal 4 3 3 4" xfId="849" xr:uid="{00000000-0005-0000-0000-00009A140000}"/>
    <cellStyle name="Normal 4 3 3 4 2" xfId="3084" xr:uid="{00000000-0005-0000-0000-00009B140000}"/>
    <cellStyle name="Normal 4 3 3 4 2 2" xfId="7307" xr:uid="{00000000-0005-0000-0000-00009C140000}"/>
    <cellStyle name="Normal 4 3 3 4 2 2 2" xfId="15749" xr:uid="{16856847-0142-4141-BAA3-C0416EC6BADC}"/>
    <cellStyle name="Normal 4 3 3 4 2 3" xfId="11531" xr:uid="{480CEE62-AE9B-4305-BA5E-BBC561ECF389}"/>
    <cellStyle name="Normal 4 3 3 4 3" xfId="5162" xr:uid="{00000000-0005-0000-0000-00009D140000}"/>
    <cellStyle name="Normal 4 3 3 4 3 2" xfId="13604" xr:uid="{B30F7F6F-D842-4934-BDD1-C60A725124CC}"/>
    <cellStyle name="Normal 4 3 3 4 4" xfId="9386" xr:uid="{391DED37-BF58-47B5-BD11-C9506BB7434F}"/>
    <cellStyle name="Normal 4 3 3 5" xfId="1267" xr:uid="{00000000-0005-0000-0000-00009E140000}"/>
    <cellStyle name="Normal 4 3 3 5 2" xfId="3497" xr:uid="{00000000-0005-0000-0000-00009F140000}"/>
    <cellStyle name="Normal 4 3 3 5 2 2" xfId="7720" xr:uid="{00000000-0005-0000-0000-0000A0140000}"/>
    <cellStyle name="Normal 4 3 3 5 2 2 2" xfId="16162" xr:uid="{2E8C6235-450B-4C94-9D39-9EFF1017043E}"/>
    <cellStyle name="Normal 4 3 3 5 2 3" xfId="11944" xr:uid="{ED556C28-7E80-4FAD-89A5-22711164E04B}"/>
    <cellStyle name="Normal 4 3 3 5 3" xfId="5575" xr:uid="{00000000-0005-0000-0000-0000A1140000}"/>
    <cellStyle name="Normal 4 3 3 5 3 2" xfId="14017" xr:uid="{12B3E8B5-261F-4AE7-95D5-80C23E05B24E}"/>
    <cellStyle name="Normal 4 3 3 5 4" xfId="9799" xr:uid="{AE761E5A-9DF6-4C8A-84EB-EB561DE43696}"/>
    <cellStyle name="Normal 4 3 3 6" xfId="1680" xr:uid="{00000000-0005-0000-0000-0000A2140000}"/>
    <cellStyle name="Normal 4 3 3 6 2" xfId="3910" xr:uid="{00000000-0005-0000-0000-0000A3140000}"/>
    <cellStyle name="Normal 4 3 3 6 2 2" xfId="8133" xr:uid="{00000000-0005-0000-0000-0000A4140000}"/>
    <cellStyle name="Normal 4 3 3 6 2 2 2" xfId="16575" xr:uid="{487EE9D4-A755-4B84-8B09-A53307D5217B}"/>
    <cellStyle name="Normal 4 3 3 6 2 3" xfId="12357" xr:uid="{DED45B35-9FAF-4060-8FE1-49E64D17FCD5}"/>
    <cellStyle name="Normal 4 3 3 6 3" xfId="5988" xr:uid="{00000000-0005-0000-0000-0000A5140000}"/>
    <cellStyle name="Normal 4 3 3 6 3 2" xfId="14430" xr:uid="{810546C3-EBDD-4FAD-A0BC-26FF6793960C}"/>
    <cellStyle name="Normal 4 3 3 6 4" xfId="10212" xr:uid="{52AFDF58-E37C-4296-B6E0-1DA4A13BC19E}"/>
    <cellStyle name="Normal 4 3 3 7" xfId="2094" xr:uid="{00000000-0005-0000-0000-0000A6140000}"/>
    <cellStyle name="Normal 4 3 3 7 2" xfId="4323" xr:uid="{00000000-0005-0000-0000-0000A7140000}"/>
    <cellStyle name="Normal 4 3 3 7 2 2" xfId="8546" xr:uid="{00000000-0005-0000-0000-0000A8140000}"/>
    <cellStyle name="Normal 4 3 3 7 2 2 2" xfId="16988" xr:uid="{12F00401-7A23-4FC7-B4A2-E7EB23C74612}"/>
    <cellStyle name="Normal 4 3 3 7 2 3" xfId="12770" xr:uid="{45F38F81-2CA8-4006-8B35-3388D632BBCA}"/>
    <cellStyle name="Normal 4 3 3 7 3" xfId="6401" xr:uid="{00000000-0005-0000-0000-0000A9140000}"/>
    <cellStyle name="Normal 4 3 3 7 3 2" xfId="14843" xr:uid="{A272B467-62DC-4FE5-9D4C-FB6CB8B9A7A7}"/>
    <cellStyle name="Normal 4 3 3 7 4" xfId="10625" xr:uid="{A736AA72-199E-48D3-B050-CB4AE33BC8F9}"/>
    <cellStyle name="Normal 4 3 3 8" xfId="2530" xr:uid="{00000000-0005-0000-0000-0000AA140000}"/>
    <cellStyle name="Normal 4 3 3 8 2" xfId="6814" xr:uid="{00000000-0005-0000-0000-0000AB140000}"/>
    <cellStyle name="Normal 4 3 3 8 2 2" xfId="15256" xr:uid="{1AC06717-61CA-4244-BC70-3F971AC8D2F7}"/>
    <cellStyle name="Normal 4 3 3 8 3" xfId="11038" xr:uid="{0F932A65-09AE-4A55-B228-FABBEB775CA9}"/>
    <cellStyle name="Normal 4 3 3 9" xfId="4749" xr:uid="{00000000-0005-0000-0000-0000AC140000}"/>
    <cellStyle name="Normal 4 3 3 9 2" xfId="13191" xr:uid="{AC037319-40AD-41B0-8202-4F704EA12A1C}"/>
    <cellStyle name="Normal 4 3 4" xfId="842" xr:uid="{00000000-0005-0000-0000-0000AD140000}"/>
    <cellStyle name="Normal 4 3 4 2" xfId="3079" xr:uid="{00000000-0005-0000-0000-0000AE140000}"/>
    <cellStyle name="Normal 4 3 4 2 2" xfId="7302" xr:uid="{00000000-0005-0000-0000-0000AF140000}"/>
    <cellStyle name="Normal 4 3 4 2 2 2" xfId="15744" xr:uid="{A00D680F-F669-4DE3-9FA9-249EE6BA52FE}"/>
    <cellStyle name="Normal 4 3 4 2 3" xfId="11526" xr:uid="{22EAC5FF-EE7E-44C2-923C-36B69B2EC925}"/>
    <cellStyle name="Normal 4 3 4 3" xfId="5157" xr:uid="{00000000-0005-0000-0000-0000B0140000}"/>
    <cellStyle name="Normal 4 3 4 3 2" xfId="13599" xr:uid="{143D7ECB-69A8-4CF4-ACCB-4910833C7B4A}"/>
    <cellStyle name="Normal 4 3 4 4" xfId="9381" xr:uid="{4E43F9F2-6685-44CC-B85F-9C665825C425}"/>
    <cellStyle name="Normal 4 3 5" xfId="1262" xr:uid="{00000000-0005-0000-0000-0000B1140000}"/>
    <cellStyle name="Normal 4 3 5 2" xfId="3492" xr:uid="{00000000-0005-0000-0000-0000B2140000}"/>
    <cellStyle name="Normal 4 3 5 2 2" xfId="7715" xr:uid="{00000000-0005-0000-0000-0000B3140000}"/>
    <cellStyle name="Normal 4 3 5 2 2 2" xfId="16157" xr:uid="{D70B3FFD-446E-4924-B8DF-EFBD90678E7C}"/>
    <cellStyle name="Normal 4 3 5 2 3" xfId="11939" xr:uid="{958F4F66-7650-435F-8B41-D280390B1A20}"/>
    <cellStyle name="Normal 4 3 5 3" xfId="5570" xr:uid="{00000000-0005-0000-0000-0000B4140000}"/>
    <cellStyle name="Normal 4 3 5 3 2" xfId="14012" xr:uid="{DC7B6832-B38C-48BA-BB6F-4072D933E8B0}"/>
    <cellStyle name="Normal 4 3 5 4" xfId="9794" xr:uid="{BB7505C2-0DBA-40AE-AA70-7299A29FA7EE}"/>
    <cellStyle name="Normal 4 3 6" xfId="1675" xr:uid="{00000000-0005-0000-0000-0000B5140000}"/>
    <cellStyle name="Normal 4 3 6 2" xfId="3905" xr:uid="{00000000-0005-0000-0000-0000B6140000}"/>
    <cellStyle name="Normal 4 3 6 2 2" xfId="8128" xr:uid="{00000000-0005-0000-0000-0000B7140000}"/>
    <cellStyle name="Normal 4 3 6 2 2 2" xfId="16570" xr:uid="{9CA6F42F-ED5A-47F6-8C72-2B3FD9F8B232}"/>
    <cellStyle name="Normal 4 3 6 2 3" xfId="12352" xr:uid="{68D91DE9-50AC-4EBD-B58B-BF9BA7053B4B}"/>
    <cellStyle name="Normal 4 3 6 3" xfId="5983" xr:uid="{00000000-0005-0000-0000-0000B8140000}"/>
    <cellStyle name="Normal 4 3 6 3 2" xfId="14425" xr:uid="{09FDC869-032D-48B3-A67E-B0E9889043E2}"/>
    <cellStyle name="Normal 4 3 6 4" xfId="10207" xr:uid="{65388A9C-F143-4FC5-8D5C-CD8FB3911B08}"/>
    <cellStyle name="Normal 4 3 7" xfId="2089" xr:uid="{00000000-0005-0000-0000-0000B9140000}"/>
    <cellStyle name="Normal 4 3 7 2" xfId="4318" xr:uid="{00000000-0005-0000-0000-0000BA140000}"/>
    <cellStyle name="Normal 4 3 7 2 2" xfId="8541" xr:uid="{00000000-0005-0000-0000-0000BB140000}"/>
    <cellStyle name="Normal 4 3 7 2 2 2" xfId="16983" xr:uid="{799AF0E3-7BE0-4D60-8B93-D2024D05F86E}"/>
    <cellStyle name="Normal 4 3 7 2 3" xfId="12765" xr:uid="{0F2F8E9E-8169-468E-A572-C7CE3063BCFC}"/>
    <cellStyle name="Normal 4 3 7 3" xfId="6396" xr:uid="{00000000-0005-0000-0000-0000BC140000}"/>
    <cellStyle name="Normal 4 3 7 3 2" xfId="14838" xr:uid="{482E08E3-8C52-4AAE-B677-75D6A3012B7C}"/>
    <cellStyle name="Normal 4 3 7 4" xfId="10620" xr:uid="{E36EE7AC-5B09-4A75-A43B-AFAEB1A7B1B6}"/>
    <cellStyle name="Normal 4 3 8" xfId="2525" xr:uid="{00000000-0005-0000-0000-0000BD140000}"/>
    <cellStyle name="Normal 4 3 8 2" xfId="6809" xr:uid="{00000000-0005-0000-0000-0000BE140000}"/>
    <cellStyle name="Normal 4 3 8 2 2" xfId="15251" xr:uid="{ACA6742B-4B78-4735-9773-35CDDBA1ED36}"/>
    <cellStyle name="Normal 4 3 8 3" xfId="11033" xr:uid="{F015D282-9F95-4475-A192-5693AF5777DC}"/>
    <cellStyle name="Normal 4 3 9" xfId="4744" xr:uid="{00000000-0005-0000-0000-0000BF140000}"/>
    <cellStyle name="Normal 4 3 9 2" xfId="13186" xr:uid="{6FBE8B68-24C0-4498-BB7A-D267B6B1F0B0}"/>
    <cellStyle name="Normal 4 4" xfId="378" xr:uid="{00000000-0005-0000-0000-0000C0140000}"/>
    <cellStyle name="Normal 4 4 10" xfId="2534" xr:uid="{00000000-0005-0000-0000-0000C1140000}"/>
    <cellStyle name="Normal 4 4 10 2" xfId="6818" xr:uid="{00000000-0005-0000-0000-0000C2140000}"/>
    <cellStyle name="Normal 4 4 10 2 2" xfId="15260" xr:uid="{95BCD472-F2D5-4DEC-8250-8E40014D77A0}"/>
    <cellStyle name="Normal 4 4 10 3" xfId="11042" xr:uid="{A7BBA6C2-42EB-4D39-ADF6-E465665D7B3B}"/>
    <cellStyle name="Normal 4 4 11" xfId="4753" xr:uid="{00000000-0005-0000-0000-0000C3140000}"/>
    <cellStyle name="Normal 4 4 11 2" xfId="13195" xr:uid="{881446A0-8E83-467A-9360-B0430769FCBE}"/>
    <cellStyle name="Normal 4 4 12" xfId="8977" xr:uid="{34DB7F82-0647-41D5-8745-9564BAE90D07}"/>
    <cellStyle name="Normal 4 4 2" xfId="379" xr:uid="{00000000-0005-0000-0000-0000C4140000}"/>
    <cellStyle name="Normal 4 4 2 10" xfId="4754" xr:uid="{00000000-0005-0000-0000-0000C5140000}"/>
    <cellStyle name="Normal 4 4 2 10 2" xfId="13196" xr:uid="{0EB54859-C657-4D11-A60D-9D1B400F465D}"/>
    <cellStyle name="Normal 4 4 2 11" xfId="8978" xr:uid="{9336BB4C-0224-42A9-A7FA-0C103BAC56C8}"/>
    <cellStyle name="Normal 4 4 2 2" xfId="380" xr:uid="{00000000-0005-0000-0000-0000C6140000}"/>
    <cellStyle name="Normal 4 4 2 2 10" xfId="8979" xr:uid="{2F26A5A0-85AB-429C-9495-EC8B464E6D69}"/>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2 2 2" xfId="15757" xr:uid="{64A01556-3A4F-471A-9386-FC0061313A1E}"/>
    <cellStyle name="Normal 4 4 2 2 2 2 2 2 3" xfId="11539" xr:uid="{4EB00CDD-F56E-4897-B456-DD02F84B60E9}"/>
    <cellStyle name="Normal 4 4 2 2 2 2 2 3" xfId="5170" xr:uid="{00000000-0005-0000-0000-0000CC140000}"/>
    <cellStyle name="Normal 4 4 2 2 2 2 2 3 2" xfId="13612" xr:uid="{49BA3B86-C4B2-452B-B0F9-1B7AF00C4138}"/>
    <cellStyle name="Normal 4 4 2 2 2 2 2 4" xfId="9394" xr:uid="{F2DBB290-3B5E-4F4C-BDEA-932D232B1D16}"/>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2 2 2" xfId="16170" xr:uid="{2492AA7F-F830-4081-9815-4696FEC55709}"/>
    <cellStyle name="Normal 4 4 2 2 2 2 3 2 3" xfId="11952" xr:uid="{80025CA8-64F6-4F30-8DED-FD89E1F4F7F1}"/>
    <cellStyle name="Normal 4 4 2 2 2 2 3 3" xfId="5583" xr:uid="{00000000-0005-0000-0000-0000D0140000}"/>
    <cellStyle name="Normal 4 4 2 2 2 2 3 3 2" xfId="14025" xr:uid="{25661FF4-3F34-46D6-A463-C11161E77A06}"/>
    <cellStyle name="Normal 4 4 2 2 2 2 3 4" xfId="9807" xr:uid="{5395B841-226D-4984-9B90-3E46C4B8487D}"/>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2 2 2" xfId="16583" xr:uid="{888E5755-CE51-4E8A-9C85-B3E0422479B6}"/>
    <cellStyle name="Normal 4 4 2 2 2 2 4 2 3" xfId="12365" xr:uid="{DAA188C0-34F1-4832-B043-AA5856416394}"/>
    <cellStyle name="Normal 4 4 2 2 2 2 4 3" xfId="5996" xr:uid="{00000000-0005-0000-0000-0000D4140000}"/>
    <cellStyle name="Normal 4 4 2 2 2 2 4 3 2" xfId="14438" xr:uid="{FBA5C6D7-A5F3-4542-BCBB-9EE21D27EDE7}"/>
    <cellStyle name="Normal 4 4 2 2 2 2 4 4" xfId="10220" xr:uid="{30327402-6B59-462D-A212-F3FD6E74A3D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2 2 2" xfId="16996" xr:uid="{A750F222-C9AB-400C-BE64-63498A012397}"/>
    <cellStyle name="Normal 4 4 2 2 2 2 5 2 3" xfId="12778" xr:uid="{BC3250BE-0103-4F23-B03D-F2AB0144F0C2}"/>
    <cellStyle name="Normal 4 4 2 2 2 2 5 3" xfId="6409" xr:uid="{00000000-0005-0000-0000-0000D8140000}"/>
    <cellStyle name="Normal 4 4 2 2 2 2 5 3 2" xfId="14851" xr:uid="{FBC0CED9-04A2-40B4-BF0C-A188D044709E}"/>
    <cellStyle name="Normal 4 4 2 2 2 2 5 4" xfId="10633" xr:uid="{2AE62DAF-1A00-405F-B108-C19A126D3C6A}"/>
    <cellStyle name="Normal 4 4 2 2 2 2 6" xfId="2538" xr:uid="{00000000-0005-0000-0000-0000D9140000}"/>
    <cellStyle name="Normal 4 4 2 2 2 2 6 2" xfId="6822" xr:uid="{00000000-0005-0000-0000-0000DA140000}"/>
    <cellStyle name="Normal 4 4 2 2 2 2 6 2 2" xfId="15264" xr:uid="{5BE7EF22-0640-40E4-BE74-5A2F4819E276}"/>
    <cellStyle name="Normal 4 4 2 2 2 2 6 3" xfId="11046" xr:uid="{8777188B-0F8F-430E-8252-AB03A37D0C36}"/>
    <cellStyle name="Normal 4 4 2 2 2 2 7" xfId="4757" xr:uid="{00000000-0005-0000-0000-0000DB140000}"/>
    <cellStyle name="Normal 4 4 2 2 2 2 7 2" xfId="13199" xr:uid="{2DF6B3F1-7814-41C8-B135-2F118364C63B}"/>
    <cellStyle name="Normal 4 4 2 2 2 2 8" xfId="8981" xr:uid="{7487454A-D78E-4B56-B9C8-841CBFB70811}"/>
    <cellStyle name="Normal 4 4 2 2 2 3" xfId="856" xr:uid="{00000000-0005-0000-0000-0000DC140000}"/>
    <cellStyle name="Normal 4 4 2 2 2 3 2" xfId="3091" xr:uid="{00000000-0005-0000-0000-0000DD140000}"/>
    <cellStyle name="Normal 4 4 2 2 2 3 2 2" xfId="7314" xr:uid="{00000000-0005-0000-0000-0000DE140000}"/>
    <cellStyle name="Normal 4 4 2 2 2 3 2 2 2" xfId="15756" xr:uid="{A579E2F0-D639-4F1C-A6BE-6C49B94FDF75}"/>
    <cellStyle name="Normal 4 4 2 2 2 3 2 3" xfId="11538" xr:uid="{016B3155-94EA-4E75-AD6D-E41CA0A93322}"/>
    <cellStyle name="Normal 4 4 2 2 2 3 3" xfId="5169" xr:uid="{00000000-0005-0000-0000-0000DF140000}"/>
    <cellStyle name="Normal 4 4 2 2 2 3 3 2" xfId="13611" xr:uid="{C5C877DC-79A1-4282-B0C9-FCC7ED034170}"/>
    <cellStyle name="Normal 4 4 2 2 2 3 4" xfId="9393" xr:uid="{C864CA33-E276-4891-8FA4-B31778320FB1}"/>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2 2 2" xfId="16169" xr:uid="{62A6DB74-B4DC-46FF-B8AC-E5D3ED3B3C3D}"/>
    <cellStyle name="Normal 4 4 2 2 2 4 2 3" xfId="11951" xr:uid="{B2B39E6C-04F4-420A-BC34-1E1D0287CCFE}"/>
    <cellStyle name="Normal 4 4 2 2 2 4 3" xfId="5582" xr:uid="{00000000-0005-0000-0000-0000E3140000}"/>
    <cellStyle name="Normal 4 4 2 2 2 4 3 2" xfId="14024" xr:uid="{E1698691-CE81-4C85-B75C-8D5FC0B049D9}"/>
    <cellStyle name="Normal 4 4 2 2 2 4 4" xfId="9806" xr:uid="{D7E561DD-1869-486F-B83F-AAD627CB16F8}"/>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2 2 2" xfId="16582" xr:uid="{78A790DD-39CC-4AAD-B024-3D88754612CC}"/>
    <cellStyle name="Normal 4 4 2 2 2 5 2 3" xfId="12364" xr:uid="{0A8B33C3-2424-4AC5-9588-08CFFAE390A7}"/>
    <cellStyle name="Normal 4 4 2 2 2 5 3" xfId="5995" xr:uid="{00000000-0005-0000-0000-0000E7140000}"/>
    <cellStyle name="Normal 4 4 2 2 2 5 3 2" xfId="14437" xr:uid="{2B2D98AC-30F0-416A-8F18-6AB9098D576E}"/>
    <cellStyle name="Normal 4 4 2 2 2 5 4" xfId="10219" xr:uid="{10464516-4AB7-4960-B9B7-323C333D4398}"/>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2 2 2" xfId="16995" xr:uid="{4EB744CC-2C79-4BDB-A2DF-DD4DAC3FC501}"/>
    <cellStyle name="Normal 4 4 2 2 2 6 2 3" xfId="12777" xr:uid="{0D0DDE63-9B33-4E3C-ABEB-8F4C5D6229F0}"/>
    <cellStyle name="Normal 4 4 2 2 2 6 3" xfId="6408" xr:uid="{00000000-0005-0000-0000-0000EB140000}"/>
    <cellStyle name="Normal 4 4 2 2 2 6 3 2" xfId="14850" xr:uid="{9C08DC1A-F539-4FC2-86ED-CE4FFD4A38C8}"/>
    <cellStyle name="Normal 4 4 2 2 2 6 4" xfId="10632" xr:uid="{4331339D-2505-4139-8D71-799632D94C79}"/>
    <cellStyle name="Normal 4 4 2 2 2 7" xfId="2537" xr:uid="{00000000-0005-0000-0000-0000EC140000}"/>
    <cellStyle name="Normal 4 4 2 2 2 7 2" xfId="6821" xr:uid="{00000000-0005-0000-0000-0000ED140000}"/>
    <cellStyle name="Normal 4 4 2 2 2 7 2 2" xfId="15263" xr:uid="{B38AB1D9-42AE-4675-8ABB-7FDEBFC7B09F}"/>
    <cellStyle name="Normal 4 4 2 2 2 7 3" xfId="11045" xr:uid="{71F4DCF5-D106-4F6C-A9AB-9F59E163D7F8}"/>
    <cellStyle name="Normal 4 4 2 2 2 8" xfId="4756" xr:uid="{00000000-0005-0000-0000-0000EE140000}"/>
    <cellStyle name="Normal 4 4 2 2 2 8 2" xfId="13198" xr:uid="{A591302F-6710-4CF4-A570-5A8D4A28824A}"/>
    <cellStyle name="Normal 4 4 2 2 2 9" xfId="8980" xr:uid="{BF3BD2AF-1CB8-4C37-B120-7B5340AC56D8}"/>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2 2 2" xfId="15758" xr:uid="{20EE9C1C-F14D-4A6E-A490-26FBF3DB1E3E}"/>
    <cellStyle name="Normal 4 4 2 2 3 2 2 3" xfId="11540" xr:uid="{FE9F5F3E-4E73-4C44-A877-95130C76E9F5}"/>
    <cellStyle name="Normal 4 4 2 2 3 2 3" xfId="5171" xr:uid="{00000000-0005-0000-0000-0000F3140000}"/>
    <cellStyle name="Normal 4 4 2 2 3 2 3 2" xfId="13613" xr:uid="{B0720527-2597-4EE7-8CBB-23E928C34494}"/>
    <cellStyle name="Normal 4 4 2 2 3 2 4" xfId="9395" xr:uid="{3EC6FCBD-42CB-47E9-A1CF-9B73EDB25A3A}"/>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2 2 2" xfId="16171" xr:uid="{08E239E5-B336-49C8-9EB1-E24996A2B0B7}"/>
    <cellStyle name="Normal 4 4 2 2 3 3 2 3" xfId="11953" xr:uid="{6669C234-D3A0-42DD-B336-577F3A86F7B0}"/>
    <cellStyle name="Normal 4 4 2 2 3 3 3" xfId="5584" xr:uid="{00000000-0005-0000-0000-0000F7140000}"/>
    <cellStyle name="Normal 4 4 2 2 3 3 3 2" xfId="14026" xr:uid="{11D90334-DBD0-4F87-9F83-28EFFC486D70}"/>
    <cellStyle name="Normal 4 4 2 2 3 3 4" xfId="9808" xr:uid="{7E832F72-F618-45D0-BBC3-3FA917D18049}"/>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2 2 2" xfId="16584" xr:uid="{AA72E0A3-54B9-473F-8EFB-92F8A90E5DCD}"/>
    <cellStyle name="Normal 4 4 2 2 3 4 2 3" xfId="12366" xr:uid="{D46D05EE-AE76-465A-9D62-81EDAB70E630}"/>
    <cellStyle name="Normal 4 4 2 2 3 4 3" xfId="5997" xr:uid="{00000000-0005-0000-0000-0000FB140000}"/>
    <cellStyle name="Normal 4 4 2 2 3 4 3 2" xfId="14439" xr:uid="{7CF24D0B-8C42-4A30-83F5-821E29B12970}"/>
    <cellStyle name="Normal 4 4 2 2 3 4 4" xfId="10221" xr:uid="{8CBDD0AF-2B11-4B8D-91D6-4AA3207D861A}"/>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2 2 2" xfId="16997" xr:uid="{863428C9-CB67-4F5F-BE1B-BDFB85DE3469}"/>
    <cellStyle name="Normal 4 4 2 2 3 5 2 3" xfId="12779" xr:uid="{CE3F6F1F-0B5C-4BE1-91EC-33257D60D6F8}"/>
    <cellStyle name="Normal 4 4 2 2 3 5 3" xfId="6410" xr:uid="{00000000-0005-0000-0000-0000FF140000}"/>
    <cellStyle name="Normal 4 4 2 2 3 5 3 2" xfId="14852" xr:uid="{F970E9A2-1562-4FCB-AE4B-5160B36353F0}"/>
    <cellStyle name="Normal 4 4 2 2 3 5 4" xfId="10634" xr:uid="{053BC8AE-F9B9-4226-B099-3B7475FA912B}"/>
    <cellStyle name="Normal 4 4 2 2 3 6" xfId="2539" xr:uid="{00000000-0005-0000-0000-000000150000}"/>
    <cellStyle name="Normal 4 4 2 2 3 6 2" xfId="6823" xr:uid="{00000000-0005-0000-0000-000001150000}"/>
    <cellStyle name="Normal 4 4 2 2 3 6 2 2" xfId="15265" xr:uid="{78CB1F2C-3981-4A26-81BE-D7A4B6CBD877}"/>
    <cellStyle name="Normal 4 4 2 2 3 6 3" xfId="11047" xr:uid="{5FAA8EEF-1C48-44F7-A51E-C9CB36EC23FB}"/>
    <cellStyle name="Normal 4 4 2 2 3 7" xfId="4758" xr:uid="{00000000-0005-0000-0000-000002150000}"/>
    <cellStyle name="Normal 4 4 2 2 3 7 2" xfId="13200" xr:uid="{B4C5EEB1-54AB-4267-8CBF-64E167B1CD09}"/>
    <cellStyle name="Normal 4 4 2 2 3 8" xfId="8982" xr:uid="{E71BD510-093A-4F79-BC07-6C3DCC7AE1B7}"/>
    <cellStyle name="Normal 4 4 2 2 4" xfId="855" xr:uid="{00000000-0005-0000-0000-000003150000}"/>
    <cellStyle name="Normal 4 4 2 2 4 2" xfId="3090" xr:uid="{00000000-0005-0000-0000-000004150000}"/>
    <cellStyle name="Normal 4 4 2 2 4 2 2" xfId="7313" xr:uid="{00000000-0005-0000-0000-000005150000}"/>
    <cellStyle name="Normal 4 4 2 2 4 2 2 2" xfId="15755" xr:uid="{40B77968-78E0-45B7-AA73-A8FC040422C6}"/>
    <cellStyle name="Normal 4 4 2 2 4 2 3" xfId="11537" xr:uid="{02325B45-0D5E-425D-A805-446B6645F2F5}"/>
    <cellStyle name="Normal 4 4 2 2 4 3" xfId="5168" xr:uid="{00000000-0005-0000-0000-000006150000}"/>
    <cellStyle name="Normal 4 4 2 2 4 3 2" xfId="13610" xr:uid="{942A366C-AF5F-4113-A8C5-5E59D312E7DD}"/>
    <cellStyle name="Normal 4 4 2 2 4 4" xfId="9392" xr:uid="{4E2B104D-14DB-455A-85FB-C5B97DBDC2EB}"/>
    <cellStyle name="Normal 4 4 2 2 5" xfId="1273" xr:uid="{00000000-0005-0000-0000-000007150000}"/>
    <cellStyle name="Normal 4 4 2 2 5 2" xfId="3503" xr:uid="{00000000-0005-0000-0000-000008150000}"/>
    <cellStyle name="Normal 4 4 2 2 5 2 2" xfId="7726" xr:uid="{00000000-0005-0000-0000-000009150000}"/>
    <cellStyle name="Normal 4 4 2 2 5 2 2 2" xfId="16168" xr:uid="{4747BF51-D373-468C-9F6F-92D24EC3EAE3}"/>
    <cellStyle name="Normal 4 4 2 2 5 2 3" xfId="11950" xr:uid="{AE97C5F0-F767-4717-9027-17789020FA45}"/>
    <cellStyle name="Normal 4 4 2 2 5 3" xfId="5581" xr:uid="{00000000-0005-0000-0000-00000A150000}"/>
    <cellStyle name="Normal 4 4 2 2 5 3 2" xfId="14023" xr:uid="{CE9D665D-C617-4351-AF10-BEE4D1EEED8C}"/>
    <cellStyle name="Normal 4 4 2 2 5 4" xfId="9805" xr:uid="{5231F9FF-40AB-4FA1-91A3-3833082C69F6}"/>
    <cellStyle name="Normal 4 4 2 2 6" xfId="1686" xr:uid="{00000000-0005-0000-0000-00000B150000}"/>
    <cellStyle name="Normal 4 4 2 2 6 2" xfId="3916" xr:uid="{00000000-0005-0000-0000-00000C150000}"/>
    <cellStyle name="Normal 4 4 2 2 6 2 2" xfId="8139" xr:uid="{00000000-0005-0000-0000-00000D150000}"/>
    <cellStyle name="Normal 4 4 2 2 6 2 2 2" xfId="16581" xr:uid="{AAAFF672-B68E-4BF3-A5BA-F98A896A1AB2}"/>
    <cellStyle name="Normal 4 4 2 2 6 2 3" xfId="12363" xr:uid="{17B82848-528C-4C83-9F23-792020AAB472}"/>
    <cellStyle name="Normal 4 4 2 2 6 3" xfId="5994" xr:uid="{00000000-0005-0000-0000-00000E150000}"/>
    <cellStyle name="Normal 4 4 2 2 6 3 2" xfId="14436" xr:uid="{27BAADE6-D2C6-4CA2-8D67-6310599A6CB1}"/>
    <cellStyle name="Normal 4 4 2 2 6 4" xfId="10218" xr:uid="{D059D589-ECBB-4B0D-A0A5-492AE0F25673}"/>
    <cellStyle name="Normal 4 4 2 2 7" xfId="2100" xr:uid="{00000000-0005-0000-0000-00000F150000}"/>
    <cellStyle name="Normal 4 4 2 2 7 2" xfId="4329" xr:uid="{00000000-0005-0000-0000-000010150000}"/>
    <cellStyle name="Normal 4 4 2 2 7 2 2" xfId="8552" xr:uid="{00000000-0005-0000-0000-000011150000}"/>
    <cellStyle name="Normal 4 4 2 2 7 2 2 2" xfId="16994" xr:uid="{AC6D6C21-DE96-41EC-B53C-05B1120738BD}"/>
    <cellStyle name="Normal 4 4 2 2 7 2 3" xfId="12776" xr:uid="{0C9948E4-EB11-4146-8694-93F024B5E2BD}"/>
    <cellStyle name="Normal 4 4 2 2 7 3" xfId="6407" xr:uid="{00000000-0005-0000-0000-000012150000}"/>
    <cellStyle name="Normal 4 4 2 2 7 3 2" xfId="14849" xr:uid="{F646E004-EC13-4EE9-9067-8E5FFBA34600}"/>
    <cellStyle name="Normal 4 4 2 2 7 4" xfId="10631" xr:uid="{D0BA82EC-7CB2-4A13-9974-5333860ECBED}"/>
    <cellStyle name="Normal 4 4 2 2 8" xfId="2536" xr:uid="{00000000-0005-0000-0000-000013150000}"/>
    <cellStyle name="Normal 4 4 2 2 8 2" xfId="6820" xr:uid="{00000000-0005-0000-0000-000014150000}"/>
    <cellStyle name="Normal 4 4 2 2 8 2 2" xfId="15262" xr:uid="{F1915614-A1FE-4DB5-9D5E-767DB6319123}"/>
    <cellStyle name="Normal 4 4 2 2 8 3" xfId="11044" xr:uid="{D0B32B99-50F8-4A29-885C-1CE40E3EE8EE}"/>
    <cellStyle name="Normal 4 4 2 2 9" xfId="4755" xr:uid="{00000000-0005-0000-0000-000015150000}"/>
    <cellStyle name="Normal 4 4 2 2 9 2" xfId="13197" xr:uid="{6EF5E6C9-3EDA-4C9E-BCE2-DEA67BE644D4}"/>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2 2 2" xfId="15760" xr:uid="{63B7B2D3-9359-4057-B705-99BBD8BED1CF}"/>
    <cellStyle name="Normal 4 4 2 3 2 2 2 3" xfId="11542" xr:uid="{CBB1D27A-2E5F-4C17-A575-02C95E563799}"/>
    <cellStyle name="Normal 4 4 2 3 2 2 3" xfId="5173" xr:uid="{00000000-0005-0000-0000-00001B150000}"/>
    <cellStyle name="Normal 4 4 2 3 2 2 3 2" xfId="13615" xr:uid="{F58E674A-BCF4-4279-8C26-5F78D52909C9}"/>
    <cellStyle name="Normal 4 4 2 3 2 2 4" xfId="9397" xr:uid="{BE35F4F8-1503-4E98-BD20-0C62062C3484}"/>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2 2 2" xfId="16173" xr:uid="{769950CC-58A9-43F0-9119-942B96E46C49}"/>
    <cellStyle name="Normal 4 4 2 3 2 3 2 3" xfId="11955" xr:uid="{F03205F3-46D3-4C54-B105-D7D2DA617396}"/>
    <cellStyle name="Normal 4 4 2 3 2 3 3" xfId="5586" xr:uid="{00000000-0005-0000-0000-00001F150000}"/>
    <cellStyle name="Normal 4 4 2 3 2 3 3 2" xfId="14028" xr:uid="{AFAC3E74-6825-488D-AAB6-097D7B3B8C2F}"/>
    <cellStyle name="Normal 4 4 2 3 2 3 4" xfId="9810" xr:uid="{24E00126-54A6-4413-A1A5-06772EE95C77}"/>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2 2 2" xfId="16586" xr:uid="{D8AACBCF-7970-40B2-B023-497106791D7E}"/>
    <cellStyle name="Normal 4 4 2 3 2 4 2 3" xfId="12368" xr:uid="{203D152B-EA71-4989-8B36-FDA1E2413600}"/>
    <cellStyle name="Normal 4 4 2 3 2 4 3" xfId="5999" xr:uid="{00000000-0005-0000-0000-000023150000}"/>
    <cellStyle name="Normal 4 4 2 3 2 4 3 2" xfId="14441" xr:uid="{CC8FE3F6-2E85-48A1-B99F-F041C6E03DD8}"/>
    <cellStyle name="Normal 4 4 2 3 2 4 4" xfId="10223" xr:uid="{FBA80BC8-9EC2-4328-BD8B-61F0EC482DF4}"/>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2 2 2" xfId="16999" xr:uid="{355A9777-19C7-413D-B981-1636D0BACA26}"/>
    <cellStyle name="Normal 4 4 2 3 2 5 2 3" xfId="12781" xr:uid="{3C706ACA-2672-4E2D-B137-6F93F557897E}"/>
    <cellStyle name="Normal 4 4 2 3 2 5 3" xfId="6412" xr:uid="{00000000-0005-0000-0000-000027150000}"/>
    <cellStyle name="Normal 4 4 2 3 2 5 3 2" xfId="14854" xr:uid="{BA372596-9A85-4D65-A27F-9DE612EF648E}"/>
    <cellStyle name="Normal 4 4 2 3 2 5 4" xfId="10636" xr:uid="{E9798CF4-4A66-4E98-A45C-C42941ECDC40}"/>
    <cellStyle name="Normal 4 4 2 3 2 6" xfId="2541" xr:uid="{00000000-0005-0000-0000-000028150000}"/>
    <cellStyle name="Normal 4 4 2 3 2 6 2" xfId="6825" xr:uid="{00000000-0005-0000-0000-000029150000}"/>
    <cellStyle name="Normal 4 4 2 3 2 6 2 2" xfId="15267" xr:uid="{83FEC9D6-B8F0-43DD-8D1C-D4784D03D223}"/>
    <cellStyle name="Normal 4 4 2 3 2 6 3" xfId="11049" xr:uid="{BD8D236D-31ED-449F-BA16-CD79816AC360}"/>
    <cellStyle name="Normal 4 4 2 3 2 7" xfId="4760" xr:uid="{00000000-0005-0000-0000-00002A150000}"/>
    <cellStyle name="Normal 4 4 2 3 2 7 2" xfId="13202" xr:uid="{F6AD3C34-5445-403F-80D6-2074E3D57659}"/>
    <cellStyle name="Normal 4 4 2 3 2 8" xfId="8984" xr:uid="{3A16334F-C1DF-4F45-9B9D-B007B3B282B9}"/>
    <cellStyle name="Normal 4 4 2 3 3" xfId="859" xr:uid="{00000000-0005-0000-0000-00002B150000}"/>
    <cellStyle name="Normal 4 4 2 3 3 2" xfId="3094" xr:uid="{00000000-0005-0000-0000-00002C150000}"/>
    <cellStyle name="Normal 4 4 2 3 3 2 2" xfId="7317" xr:uid="{00000000-0005-0000-0000-00002D150000}"/>
    <cellStyle name="Normal 4 4 2 3 3 2 2 2" xfId="15759" xr:uid="{908D361A-8C7B-4621-B1A0-CF3E918ABB3F}"/>
    <cellStyle name="Normal 4 4 2 3 3 2 3" xfId="11541" xr:uid="{C419E5F2-E7D4-4BCB-9121-3AF8680186CD}"/>
    <cellStyle name="Normal 4 4 2 3 3 3" xfId="5172" xr:uid="{00000000-0005-0000-0000-00002E150000}"/>
    <cellStyle name="Normal 4 4 2 3 3 3 2" xfId="13614" xr:uid="{4139A728-8EC1-4453-9B6A-41F468743F83}"/>
    <cellStyle name="Normal 4 4 2 3 3 4" xfId="9396" xr:uid="{69B90AA0-B1DF-400D-AEB1-4D065C0BF48C}"/>
    <cellStyle name="Normal 4 4 2 3 4" xfId="1277" xr:uid="{00000000-0005-0000-0000-00002F150000}"/>
    <cellStyle name="Normal 4 4 2 3 4 2" xfId="3507" xr:uid="{00000000-0005-0000-0000-000030150000}"/>
    <cellStyle name="Normal 4 4 2 3 4 2 2" xfId="7730" xr:uid="{00000000-0005-0000-0000-000031150000}"/>
    <cellStyle name="Normal 4 4 2 3 4 2 2 2" xfId="16172" xr:uid="{F7C10F77-936D-4A79-84D8-1367DFF364D9}"/>
    <cellStyle name="Normal 4 4 2 3 4 2 3" xfId="11954" xr:uid="{B4CF9809-9140-4FE0-ABEB-A5769393CFCE}"/>
    <cellStyle name="Normal 4 4 2 3 4 3" xfId="5585" xr:uid="{00000000-0005-0000-0000-000032150000}"/>
    <cellStyle name="Normal 4 4 2 3 4 3 2" xfId="14027" xr:uid="{738ECDD0-FB00-44A5-AAC1-2E52E24DE965}"/>
    <cellStyle name="Normal 4 4 2 3 4 4" xfId="9809" xr:uid="{05969FC3-FCC4-44E0-979A-8C2A77F82B6E}"/>
    <cellStyle name="Normal 4 4 2 3 5" xfId="1690" xr:uid="{00000000-0005-0000-0000-000033150000}"/>
    <cellStyle name="Normal 4 4 2 3 5 2" xfId="3920" xr:uid="{00000000-0005-0000-0000-000034150000}"/>
    <cellStyle name="Normal 4 4 2 3 5 2 2" xfId="8143" xr:uid="{00000000-0005-0000-0000-000035150000}"/>
    <cellStyle name="Normal 4 4 2 3 5 2 2 2" xfId="16585" xr:uid="{41E03199-2933-49AB-AD4E-13A76D96D077}"/>
    <cellStyle name="Normal 4 4 2 3 5 2 3" xfId="12367" xr:uid="{30B1B5A3-8B66-4DAD-879E-D28DBB614C0B}"/>
    <cellStyle name="Normal 4 4 2 3 5 3" xfId="5998" xr:uid="{00000000-0005-0000-0000-000036150000}"/>
    <cellStyle name="Normal 4 4 2 3 5 3 2" xfId="14440" xr:uid="{19F9F9E9-609C-4732-9126-CAB74500D507}"/>
    <cellStyle name="Normal 4 4 2 3 5 4" xfId="10222" xr:uid="{0F16154C-97D6-4AC0-BE59-659CED2DB19B}"/>
    <cellStyle name="Normal 4 4 2 3 6" xfId="2104" xr:uid="{00000000-0005-0000-0000-000037150000}"/>
    <cellStyle name="Normal 4 4 2 3 6 2" xfId="4333" xr:uid="{00000000-0005-0000-0000-000038150000}"/>
    <cellStyle name="Normal 4 4 2 3 6 2 2" xfId="8556" xr:uid="{00000000-0005-0000-0000-000039150000}"/>
    <cellStyle name="Normal 4 4 2 3 6 2 2 2" xfId="16998" xr:uid="{4C7B02C5-C966-4243-AFF5-EF532ED5E304}"/>
    <cellStyle name="Normal 4 4 2 3 6 2 3" xfId="12780" xr:uid="{6313E7CC-F4F7-4A58-AF10-0403EDDE705C}"/>
    <cellStyle name="Normal 4 4 2 3 6 3" xfId="6411" xr:uid="{00000000-0005-0000-0000-00003A150000}"/>
    <cellStyle name="Normal 4 4 2 3 6 3 2" xfId="14853" xr:uid="{81429EE4-6A0A-49E9-9BFA-9D6C0D3BD4F1}"/>
    <cellStyle name="Normal 4 4 2 3 6 4" xfId="10635" xr:uid="{03D979BA-5EC3-4D2B-9DA8-C6D7F1BD20D0}"/>
    <cellStyle name="Normal 4 4 2 3 7" xfId="2540" xr:uid="{00000000-0005-0000-0000-00003B150000}"/>
    <cellStyle name="Normal 4 4 2 3 7 2" xfId="6824" xr:uid="{00000000-0005-0000-0000-00003C150000}"/>
    <cellStyle name="Normal 4 4 2 3 7 2 2" xfId="15266" xr:uid="{844716A4-CE4F-477B-81B2-47033371CAD5}"/>
    <cellStyle name="Normal 4 4 2 3 7 3" xfId="11048" xr:uid="{F4BDA40B-07F0-4B60-AFFF-2A5F71BC56AD}"/>
    <cellStyle name="Normal 4 4 2 3 8" xfId="4759" xr:uid="{00000000-0005-0000-0000-00003D150000}"/>
    <cellStyle name="Normal 4 4 2 3 8 2" xfId="13201" xr:uid="{60140F39-9286-4473-9486-0636B10A1712}"/>
    <cellStyle name="Normal 4 4 2 3 9" xfId="8983" xr:uid="{22B34813-98B8-471A-BBBE-18F165A40064}"/>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2 2 2" xfId="15761" xr:uid="{B46D25F9-8201-4E19-91B7-AEE2C0F23E2B}"/>
    <cellStyle name="Normal 4 4 2 4 2 2 3" xfId="11543" xr:uid="{E580E1AE-D34B-41EC-9A21-40069D58AB70}"/>
    <cellStyle name="Normal 4 4 2 4 2 3" xfId="5174" xr:uid="{00000000-0005-0000-0000-000042150000}"/>
    <cellStyle name="Normal 4 4 2 4 2 3 2" xfId="13616" xr:uid="{7270A645-957B-40EF-8E23-654064083C18}"/>
    <cellStyle name="Normal 4 4 2 4 2 4" xfId="9398" xr:uid="{02976798-541C-4838-A7B1-0B751CC8BDD2}"/>
    <cellStyle name="Normal 4 4 2 4 3" xfId="1279" xr:uid="{00000000-0005-0000-0000-000043150000}"/>
    <cellStyle name="Normal 4 4 2 4 3 2" xfId="3509" xr:uid="{00000000-0005-0000-0000-000044150000}"/>
    <cellStyle name="Normal 4 4 2 4 3 2 2" xfId="7732" xr:uid="{00000000-0005-0000-0000-000045150000}"/>
    <cellStyle name="Normal 4 4 2 4 3 2 2 2" xfId="16174" xr:uid="{91622982-2197-44F6-BEB9-3D28BDE3C694}"/>
    <cellStyle name="Normal 4 4 2 4 3 2 3" xfId="11956" xr:uid="{BB016262-3322-49F3-B6A2-DB0445E11206}"/>
    <cellStyle name="Normal 4 4 2 4 3 3" xfId="5587" xr:uid="{00000000-0005-0000-0000-000046150000}"/>
    <cellStyle name="Normal 4 4 2 4 3 3 2" xfId="14029" xr:uid="{85F86DD9-19CA-43DD-94BA-0FA41BA8AA8A}"/>
    <cellStyle name="Normal 4 4 2 4 3 4" xfId="9811" xr:uid="{119A2D47-23EF-4A21-92B8-EE5D55C87DE0}"/>
    <cellStyle name="Normal 4 4 2 4 4" xfId="1692" xr:uid="{00000000-0005-0000-0000-000047150000}"/>
    <cellStyle name="Normal 4 4 2 4 4 2" xfId="3922" xr:uid="{00000000-0005-0000-0000-000048150000}"/>
    <cellStyle name="Normal 4 4 2 4 4 2 2" xfId="8145" xr:uid="{00000000-0005-0000-0000-000049150000}"/>
    <cellStyle name="Normal 4 4 2 4 4 2 2 2" xfId="16587" xr:uid="{A3DFBF1A-DD7F-439D-A192-1D84A993B347}"/>
    <cellStyle name="Normal 4 4 2 4 4 2 3" xfId="12369" xr:uid="{84028E60-51CB-48A2-A132-2DE6C0AD7C3C}"/>
    <cellStyle name="Normal 4 4 2 4 4 3" xfId="6000" xr:uid="{00000000-0005-0000-0000-00004A150000}"/>
    <cellStyle name="Normal 4 4 2 4 4 3 2" xfId="14442" xr:uid="{192AA03D-43B5-44A8-AC23-7E83D0FD9F09}"/>
    <cellStyle name="Normal 4 4 2 4 4 4" xfId="10224" xr:uid="{E9AC5BD2-42B3-4406-90DB-B9D5AABA4761}"/>
    <cellStyle name="Normal 4 4 2 4 5" xfId="2106" xr:uid="{00000000-0005-0000-0000-00004B150000}"/>
    <cellStyle name="Normal 4 4 2 4 5 2" xfId="4335" xr:uid="{00000000-0005-0000-0000-00004C150000}"/>
    <cellStyle name="Normal 4 4 2 4 5 2 2" xfId="8558" xr:uid="{00000000-0005-0000-0000-00004D150000}"/>
    <cellStyle name="Normal 4 4 2 4 5 2 2 2" xfId="17000" xr:uid="{F9298593-2970-467F-B724-8125F3680A70}"/>
    <cellStyle name="Normal 4 4 2 4 5 2 3" xfId="12782" xr:uid="{6DAFD177-357F-4294-8334-E407CBB1D5E0}"/>
    <cellStyle name="Normal 4 4 2 4 5 3" xfId="6413" xr:uid="{00000000-0005-0000-0000-00004E150000}"/>
    <cellStyle name="Normal 4 4 2 4 5 3 2" xfId="14855" xr:uid="{6B4EC812-2FBF-4578-8C67-D2F826B618B7}"/>
    <cellStyle name="Normal 4 4 2 4 5 4" xfId="10637" xr:uid="{5DB6692F-555E-4FC2-BBC7-19C94C8443F2}"/>
    <cellStyle name="Normal 4 4 2 4 6" xfId="2542" xr:uid="{00000000-0005-0000-0000-00004F150000}"/>
    <cellStyle name="Normal 4 4 2 4 6 2" xfId="6826" xr:uid="{00000000-0005-0000-0000-000050150000}"/>
    <cellStyle name="Normal 4 4 2 4 6 2 2" xfId="15268" xr:uid="{19D844DE-375A-4225-9143-BAA3D22C2C41}"/>
    <cellStyle name="Normal 4 4 2 4 6 3" xfId="11050" xr:uid="{D34BD9CA-079E-45B2-AD6D-48524656E10D}"/>
    <cellStyle name="Normal 4 4 2 4 7" xfId="4761" xr:uid="{00000000-0005-0000-0000-000051150000}"/>
    <cellStyle name="Normal 4 4 2 4 7 2" xfId="13203" xr:uid="{25813D78-2179-4A94-875F-E8A8CA6ADC0A}"/>
    <cellStyle name="Normal 4 4 2 4 8" xfId="8985" xr:uid="{EF006B4F-AD41-4648-B584-9DA6D5B6D944}"/>
    <cellStyle name="Normal 4 4 2 5" xfId="854" xr:uid="{00000000-0005-0000-0000-000052150000}"/>
    <cellStyle name="Normal 4 4 2 5 2" xfId="3089" xr:uid="{00000000-0005-0000-0000-000053150000}"/>
    <cellStyle name="Normal 4 4 2 5 2 2" xfId="7312" xr:uid="{00000000-0005-0000-0000-000054150000}"/>
    <cellStyle name="Normal 4 4 2 5 2 2 2" xfId="15754" xr:uid="{1F006125-26DD-425F-879D-1DCD8215C6C9}"/>
    <cellStyle name="Normal 4 4 2 5 2 3" xfId="11536" xr:uid="{7C73218F-10BD-4E50-BBA6-9D16A8AA174D}"/>
    <cellStyle name="Normal 4 4 2 5 3" xfId="5167" xr:uid="{00000000-0005-0000-0000-000055150000}"/>
    <cellStyle name="Normal 4 4 2 5 3 2" xfId="13609" xr:uid="{E132D828-E37B-4D90-8A05-A67EDAA9D4F4}"/>
    <cellStyle name="Normal 4 4 2 5 4" xfId="9391" xr:uid="{C2E87006-38D2-4FE4-9C58-ADA813257EB0}"/>
    <cellStyle name="Normal 4 4 2 6" xfId="1272" xr:uid="{00000000-0005-0000-0000-000056150000}"/>
    <cellStyle name="Normal 4 4 2 6 2" xfId="3502" xr:uid="{00000000-0005-0000-0000-000057150000}"/>
    <cellStyle name="Normal 4 4 2 6 2 2" xfId="7725" xr:uid="{00000000-0005-0000-0000-000058150000}"/>
    <cellStyle name="Normal 4 4 2 6 2 2 2" xfId="16167" xr:uid="{4108387C-5CF4-4348-B8B6-50E7B3907A21}"/>
    <cellStyle name="Normal 4 4 2 6 2 3" xfId="11949" xr:uid="{5145ED46-A913-45C3-846A-CDE688973DDC}"/>
    <cellStyle name="Normal 4 4 2 6 3" xfId="5580" xr:uid="{00000000-0005-0000-0000-000059150000}"/>
    <cellStyle name="Normal 4 4 2 6 3 2" xfId="14022" xr:uid="{E0C4D43D-67B8-4067-9B5E-4CF89800A287}"/>
    <cellStyle name="Normal 4 4 2 6 4" xfId="9804" xr:uid="{3CDB8F84-D9E2-45CA-9EB2-B35020621D48}"/>
    <cellStyle name="Normal 4 4 2 7" xfId="1685" xr:uid="{00000000-0005-0000-0000-00005A150000}"/>
    <cellStyle name="Normal 4 4 2 7 2" xfId="3915" xr:uid="{00000000-0005-0000-0000-00005B150000}"/>
    <cellStyle name="Normal 4 4 2 7 2 2" xfId="8138" xr:uid="{00000000-0005-0000-0000-00005C150000}"/>
    <cellStyle name="Normal 4 4 2 7 2 2 2" xfId="16580" xr:uid="{FD7ABAD3-E3F0-4A88-8BC5-8B093206F010}"/>
    <cellStyle name="Normal 4 4 2 7 2 3" xfId="12362" xr:uid="{489A8D4D-5AC1-44BD-B31C-12F7764EF61E}"/>
    <cellStyle name="Normal 4 4 2 7 3" xfId="5993" xr:uid="{00000000-0005-0000-0000-00005D150000}"/>
    <cellStyle name="Normal 4 4 2 7 3 2" xfId="14435" xr:uid="{FFA4F113-4C71-40CD-8B0E-DC0654AC0AEF}"/>
    <cellStyle name="Normal 4 4 2 7 4" xfId="10217" xr:uid="{5C1841CE-0C15-4FAE-A003-DB6297BE269D}"/>
    <cellStyle name="Normal 4 4 2 8" xfId="2099" xr:uid="{00000000-0005-0000-0000-00005E150000}"/>
    <cellStyle name="Normal 4 4 2 8 2" xfId="4328" xr:uid="{00000000-0005-0000-0000-00005F150000}"/>
    <cellStyle name="Normal 4 4 2 8 2 2" xfId="8551" xr:uid="{00000000-0005-0000-0000-000060150000}"/>
    <cellStyle name="Normal 4 4 2 8 2 2 2" xfId="16993" xr:uid="{B637EC18-E23E-4C95-9B55-6D74DA773EAB}"/>
    <cellStyle name="Normal 4 4 2 8 2 3" xfId="12775" xr:uid="{9DBC27AB-9E43-408A-B88D-7A1C4DFA860F}"/>
    <cellStyle name="Normal 4 4 2 8 3" xfId="6406" xr:uid="{00000000-0005-0000-0000-000061150000}"/>
    <cellStyle name="Normal 4 4 2 8 3 2" xfId="14848" xr:uid="{2FDA5450-C097-48B3-A0F3-337EAE8079CC}"/>
    <cellStyle name="Normal 4 4 2 8 4" xfId="10630" xr:uid="{AB4C14D3-70CC-41C6-B13B-6D37856D8735}"/>
    <cellStyle name="Normal 4 4 2 9" xfId="2535" xr:uid="{00000000-0005-0000-0000-000062150000}"/>
    <cellStyle name="Normal 4 4 2 9 2" xfId="6819" xr:uid="{00000000-0005-0000-0000-000063150000}"/>
    <cellStyle name="Normal 4 4 2 9 2 2" xfId="15261" xr:uid="{22220112-A01E-4FA8-90D3-7189DED0B63B}"/>
    <cellStyle name="Normal 4 4 2 9 3" xfId="11043" xr:uid="{C0B7AFC6-95D3-4914-899A-E0AB1BB70073}"/>
    <cellStyle name="Normal 4 4 3" xfId="387" xr:uid="{00000000-0005-0000-0000-000064150000}"/>
    <cellStyle name="Normal 4 4 3 10" xfId="8986" xr:uid="{8F2B4992-4A3D-4210-AB5A-88CCB5D062B1}"/>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2 2 2" xfId="15764" xr:uid="{CF4B6CF4-0C31-43F4-A4A8-BCB114A5E5BE}"/>
    <cellStyle name="Normal 4 4 3 2 2 2 2 3" xfId="11546" xr:uid="{BF2F1C56-10A1-4ED4-9CA8-7225D6EB9954}"/>
    <cellStyle name="Normal 4 4 3 2 2 2 3" xfId="5177" xr:uid="{00000000-0005-0000-0000-00006A150000}"/>
    <cellStyle name="Normal 4 4 3 2 2 2 3 2" xfId="13619" xr:uid="{1927FCE2-9C88-435A-86CD-D430247D33F3}"/>
    <cellStyle name="Normal 4 4 3 2 2 2 4" xfId="9401" xr:uid="{2AA47E9A-9DB0-4664-99FD-8056BE4221F4}"/>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2 2 2" xfId="16177" xr:uid="{4EEA12AD-6561-4A5B-BE44-961E799C5B93}"/>
    <cellStyle name="Normal 4 4 3 2 2 3 2 3" xfId="11959" xr:uid="{AD3AB61F-06C8-4873-A103-C26AAA90D146}"/>
    <cellStyle name="Normal 4 4 3 2 2 3 3" xfId="5590" xr:uid="{00000000-0005-0000-0000-00006E150000}"/>
    <cellStyle name="Normal 4 4 3 2 2 3 3 2" xfId="14032" xr:uid="{F0BD3E6B-41E9-4FA1-B18D-191E730767A5}"/>
    <cellStyle name="Normal 4 4 3 2 2 3 4" xfId="9814" xr:uid="{EA04DFF9-A2AF-4883-A156-713EDB7BD7DD}"/>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2 2 2" xfId="16590" xr:uid="{907FFE03-C7B0-478C-B0A7-0FC2A86B6FC4}"/>
    <cellStyle name="Normal 4 4 3 2 2 4 2 3" xfId="12372" xr:uid="{38961FFE-DC93-41FF-A4C3-FCA14B02DE69}"/>
    <cellStyle name="Normal 4 4 3 2 2 4 3" xfId="6003" xr:uid="{00000000-0005-0000-0000-000072150000}"/>
    <cellStyle name="Normal 4 4 3 2 2 4 3 2" xfId="14445" xr:uid="{1D60A6A3-DB6D-48E3-B776-32737746890C}"/>
    <cellStyle name="Normal 4 4 3 2 2 4 4" xfId="10227" xr:uid="{B8AF462F-320B-4744-A829-8CEC3C60ABDC}"/>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2 2 2" xfId="17003" xr:uid="{A1037928-54D7-4576-B3B9-D0D466ED32CC}"/>
    <cellStyle name="Normal 4 4 3 2 2 5 2 3" xfId="12785" xr:uid="{D07FAAFF-1DFE-47E0-BFAF-B42566BE0C59}"/>
    <cellStyle name="Normal 4 4 3 2 2 5 3" xfId="6416" xr:uid="{00000000-0005-0000-0000-000076150000}"/>
    <cellStyle name="Normal 4 4 3 2 2 5 3 2" xfId="14858" xr:uid="{20039397-85C7-47F0-960A-9DE269A6D090}"/>
    <cellStyle name="Normal 4 4 3 2 2 5 4" xfId="10640" xr:uid="{FEB86F66-5FD4-4764-9C9F-288D9CC11510}"/>
    <cellStyle name="Normal 4 4 3 2 2 6" xfId="2545" xr:uid="{00000000-0005-0000-0000-000077150000}"/>
    <cellStyle name="Normal 4 4 3 2 2 6 2" xfId="6829" xr:uid="{00000000-0005-0000-0000-000078150000}"/>
    <cellStyle name="Normal 4 4 3 2 2 6 2 2" xfId="15271" xr:uid="{470D9C3B-2D84-45F7-9FB6-B0FE7F81A71B}"/>
    <cellStyle name="Normal 4 4 3 2 2 6 3" xfId="11053" xr:uid="{CF534572-697E-4B62-AE27-D8F7AB2A1A55}"/>
    <cellStyle name="Normal 4 4 3 2 2 7" xfId="4764" xr:uid="{00000000-0005-0000-0000-000079150000}"/>
    <cellStyle name="Normal 4 4 3 2 2 7 2" xfId="13206" xr:uid="{9DAA7B2C-59F0-4915-A40A-099419DD3E03}"/>
    <cellStyle name="Normal 4 4 3 2 2 8" xfId="8988" xr:uid="{FC01C25A-13EF-44C5-9F5E-49E90E06BA69}"/>
    <cellStyle name="Normal 4 4 3 2 3" xfId="863" xr:uid="{00000000-0005-0000-0000-00007A150000}"/>
    <cellStyle name="Normal 4 4 3 2 3 2" xfId="3098" xr:uid="{00000000-0005-0000-0000-00007B150000}"/>
    <cellStyle name="Normal 4 4 3 2 3 2 2" xfId="7321" xr:uid="{00000000-0005-0000-0000-00007C150000}"/>
    <cellStyle name="Normal 4 4 3 2 3 2 2 2" xfId="15763" xr:uid="{56B716B2-7B7E-47C3-BB39-6AD53064C255}"/>
    <cellStyle name="Normal 4 4 3 2 3 2 3" xfId="11545" xr:uid="{243D227D-89C2-4253-9BC1-A976BE512B8D}"/>
    <cellStyle name="Normal 4 4 3 2 3 3" xfId="5176" xr:uid="{00000000-0005-0000-0000-00007D150000}"/>
    <cellStyle name="Normal 4 4 3 2 3 3 2" xfId="13618" xr:uid="{96271855-1032-440A-B7F2-D4E59FAD4253}"/>
    <cellStyle name="Normal 4 4 3 2 3 4" xfId="9400" xr:uid="{5E7767FB-2EAD-4D8A-AB3E-94AC45B9D7C6}"/>
    <cellStyle name="Normal 4 4 3 2 4" xfId="1281" xr:uid="{00000000-0005-0000-0000-00007E150000}"/>
    <cellStyle name="Normal 4 4 3 2 4 2" xfId="3511" xr:uid="{00000000-0005-0000-0000-00007F150000}"/>
    <cellStyle name="Normal 4 4 3 2 4 2 2" xfId="7734" xr:uid="{00000000-0005-0000-0000-000080150000}"/>
    <cellStyle name="Normal 4 4 3 2 4 2 2 2" xfId="16176" xr:uid="{03FAF9C2-06D4-4FA0-A060-F2DD9873D006}"/>
    <cellStyle name="Normal 4 4 3 2 4 2 3" xfId="11958" xr:uid="{7DFAEADB-B685-44A6-B880-664D84B3A18C}"/>
    <cellStyle name="Normal 4 4 3 2 4 3" xfId="5589" xr:uid="{00000000-0005-0000-0000-000081150000}"/>
    <cellStyle name="Normal 4 4 3 2 4 3 2" xfId="14031" xr:uid="{344EF253-E808-48EA-AB47-3D705DB4E3DF}"/>
    <cellStyle name="Normal 4 4 3 2 4 4" xfId="9813" xr:uid="{BC87D003-8096-4A56-8C11-47B247E76EC4}"/>
    <cellStyle name="Normal 4 4 3 2 5" xfId="1694" xr:uid="{00000000-0005-0000-0000-000082150000}"/>
    <cellStyle name="Normal 4 4 3 2 5 2" xfId="3924" xr:uid="{00000000-0005-0000-0000-000083150000}"/>
    <cellStyle name="Normal 4 4 3 2 5 2 2" xfId="8147" xr:uid="{00000000-0005-0000-0000-000084150000}"/>
    <cellStyle name="Normal 4 4 3 2 5 2 2 2" xfId="16589" xr:uid="{C9D34BC8-2932-4C2C-B329-636C12601322}"/>
    <cellStyle name="Normal 4 4 3 2 5 2 3" xfId="12371" xr:uid="{F224B9CA-DB71-4804-9F0D-F3B67502D3DA}"/>
    <cellStyle name="Normal 4 4 3 2 5 3" xfId="6002" xr:uid="{00000000-0005-0000-0000-000085150000}"/>
    <cellStyle name="Normal 4 4 3 2 5 3 2" xfId="14444" xr:uid="{22A0F488-2864-45E8-97B5-3B52FE6EEDCC}"/>
    <cellStyle name="Normal 4 4 3 2 5 4" xfId="10226" xr:uid="{A83802A7-1D11-4A8A-8324-369B5D1A0FD2}"/>
    <cellStyle name="Normal 4 4 3 2 6" xfId="2108" xr:uid="{00000000-0005-0000-0000-000086150000}"/>
    <cellStyle name="Normal 4 4 3 2 6 2" xfId="4337" xr:uid="{00000000-0005-0000-0000-000087150000}"/>
    <cellStyle name="Normal 4 4 3 2 6 2 2" xfId="8560" xr:uid="{00000000-0005-0000-0000-000088150000}"/>
    <cellStyle name="Normal 4 4 3 2 6 2 2 2" xfId="17002" xr:uid="{F727138B-7A0C-41AC-A8A5-8FF2EEE9708B}"/>
    <cellStyle name="Normal 4 4 3 2 6 2 3" xfId="12784" xr:uid="{5E9C892B-7FB6-49C1-A956-F9D88D869CB3}"/>
    <cellStyle name="Normal 4 4 3 2 6 3" xfId="6415" xr:uid="{00000000-0005-0000-0000-000089150000}"/>
    <cellStyle name="Normal 4 4 3 2 6 3 2" xfId="14857" xr:uid="{59E975BD-9750-4262-84E7-F5C0C23653E2}"/>
    <cellStyle name="Normal 4 4 3 2 6 4" xfId="10639" xr:uid="{9DC637B5-966E-433A-9098-5A99474884F1}"/>
    <cellStyle name="Normal 4 4 3 2 7" xfId="2544" xr:uid="{00000000-0005-0000-0000-00008A150000}"/>
    <cellStyle name="Normal 4 4 3 2 7 2" xfId="6828" xr:uid="{00000000-0005-0000-0000-00008B150000}"/>
    <cellStyle name="Normal 4 4 3 2 7 2 2" xfId="15270" xr:uid="{1CADAC36-81CD-49A1-94AE-AF51F1050D55}"/>
    <cellStyle name="Normal 4 4 3 2 7 3" xfId="11052" xr:uid="{E2387B2E-95AA-422E-BD52-7831E6FBA825}"/>
    <cellStyle name="Normal 4 4 3 2 8" xfId="4763" xr:uid="{00000000-0005-0000-0000-00008C150000}"/>
    <cellStyle name="Normal 4 4 3 2 8 2" xfId="13205" xr:uid="{2501F20C-446D-4119-B8EB-ED937E2D58D6}"/>
    <cellStyle name="Normal 4 4 3 2 9" xfId="8987" xr:uid="{E63BBD6B-E7E4-4D34-B97B-7B6045330786}"/>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2 2 2" xfId="15765" xr:uid="{7E1E6D53-8539-45C1-9054-A5E553E68211}"/>
    <cellStyle name="Normal 4 4 3 3 2 2 3" xfId="11547" xr:uid="{4B033D77-0CE5-42F3-9FBA-597093D8F23A}"/>
    <cellStyle name="Normal 4 4 3 3 2 3" xfId="5178" xr:uid="{00000000-0005-0000-0000-000091150000}"/>
    <cellStyle name="Normal 4 4 3 3 2 3 2" xfId="13620" xr:uid="{91A86B74-47FF-4777-AC30-A1331613218F}"/>
    <cellStyle name="Normal 4 4 3 3 2 4" xfId="9402" xr:uid="{57DFF78E-64D7-4771-A482-CCD274D96A78}"/>
    <cellStyle name="Normal 4 4 3 3 3" xfId="1283" xr:uid="{00000000-0005-0000-0000-000092150000}"/>
    <cellStyle name="Normal 4 4 3 3 3 2" xfId="3513" xr:uid="{00000000-0005-0000-0000-000093150000}"/>
    <cellStyle name="Normal 4 4 3 3 3 2 2" xfId="7736" xr:uid="{00000000-0005-0000-0000-000094150000}"/>
    <cellStyle name="Normal 4 4 3 3 3 2 2 2" xfId="16178" xr:uid="{CE6F4F67-E929-45DF-A1BC-2FCE717D3F53}"/>
    <cellStyle name="Normal 4 4 3 3 3 2 3" xfId="11960" xr:uid="{CEAB6780-7372-4DDF-93E1-27046BB06215}"/>
    <cellStyle name="Normal 4 4 3 3 3 3" xfId="5591" xr:uid="{00000000-0005-0000-0000-000095150000}"/>
    <cellStyle name="Normal 4 4 3 3 3 3 2" xfId="14033" xr:uid="{042A8CC1-DE41-41C4-B99D-A2164D50856C}"/>
    <cellStyle name="Normal 4 4 3 3 3 4" xfId="9815" xr:uid="{A0021E91-90CA-47A8-B51C-6BC0CD0B36DC}"/>
    <cellStyle name="Normal 4 4 3 3 4" xfId="1696" xr:uid="{00000000-0005-0000-0000-000096150000}"/>
    <cellStyle name="Normal 4 4 3 3 4 2" xfId="3926" xr:uid="{00000000-0005-0000-0000-000097150000}"/>
    <cellStyle name="Normal 4 4 3 3 4 2 2" xfId="8149" xr:uid="{00000000-0005-0000-0000-000098150000}"/>
    <cellStyle name="Normal 4 4 3 3 4 2 2 2" xfId="16591" xr:uid="{3F0E7146-25D9-493F-879D-6D0B7509034C}"/>
    <cellStyle name="Normal 4 4 3 3 4 2 3" xfId="12373" xr:uid="{6D6485B5-A3E1-41BF-B35B-35DC32CCB727}"/>
    <cellStyle name="Normal 4 4 3 3 4 3" xfId="6004" xr:uid="{00000000-0005-0000-0000-000099150000}"/>
    <cellStyle name="Normal 4 4 3 3 4 3 2" xfId="14446" xr:uid="{3DE62E59-80B0-470D-9E13-7DB3867C7700}"/>
    <cellStyle name="Normal 4 4 3 3 4 4" xfId="10228" xr:uid="{E6F84583-E445-4C32-88FF-093510B8BA30}"/>
    <cellStyle name="Normal 4 4 3 3 5" xfId="2110" xr:uid="{00000000-0005-0000-0000-00009A150000}"/>
    <cellStyle name="Normal 4 4 3 3 5 2" xfId="4339" xr:uid="{00000000-0005-0000-0000-00009B150000}"/>
    <cellStyle name="Normal 4 4 3 3 5 2 2" xfId="8562" xr:uid="{00000000-0005-0000-0000-00009C150000}"/>
    <cellStyle name="Normal 4 4 3 3 5 2 2 2" xfId="17004" xr:uid="{1D57347E-FC28-4C0A-8492-4C4D2F2FD368}"/>
    <cellStyle name="Normal 4 4 3 3 5 2 3" xfId="12786" xr:uid="{949AE748-A33D-4D1A-92BB-97B331958818}"/>
    <cellStyle name="Normal 4 4 3 3 5 3" xfId="6417" xr:uid="{00000000-0005-0000-0000-00009D150000}"/>
    <cellStyle name="Normal 4 4 3 3 5 3 2" xfId="14859" xr:uid="{9F51A1D5-B87D-4805-8EC8-855B9A87D540}"/>
    <cellStyle name="Normal 4 4 3 3 5 4" xfId="10641" xr:uid="{5CA56DEE-CC25-490C-A33D-9928D31DA888}"/>
    <cellStyle name="Normal 4 4 3 3 6" xfId="2546" xr:uid="{00000000-0005-0000-0000-00009E150000}"/>
    <cellStyle name="Normal 4 4 3 3 6 2" xfId="6830" xr:uid="{00000000-0005-0000-0000-00009F150000}"/>
    <cellStyle name="Normal 4 4 3 3 6 2 2" xfId="15272" xr:uid="{BC888A0A-0A8E-48B0-83CC-CC939DF07DAC}"/>
    <cellStyle name="Normal 4 4 3 3 6 3" xfId="11054" xr:uid="{D1D09008-49E4-4449-BE41-B8C560F14B67}"/>
    <cellStyle name="Normal 4 4 3 3 7" xfId="4765" xr:uid="{00000000-0005-0000-0000-0000A0150000}"/>
    <cellStyle name="Normal 4 4 3 3 7 2" xfId="13207" xr:uid="{76B95719-5D63-4507-B0B2-2129FEA6AFBC}"/>
    <cellStyle name="Normal 4 4 3 3 8" xfId="8989" xr:uid="{05CBAFB0-BAB1-4233-9D22-D66884E72BCB}"/>
    <cellStyle name="Normal 4 4 3 4" xfId="862" xr:uid="{00000000-0005-0000-0000-0000A1150000}"/>
    <cellStyle name="Normal 4 4 3 4 2" xfId="3097" xr:uid="{00000000-0005-0000-0000-0000A2150000}"/>
    <cellStyle name="Normal 4 4 3 4 2 2" xfId="7320" xr:uid="{00000000-0005-0000-0000-0000A3150000}"/>
    <cellStyle name="Normal 4 4 3 4 2 2 2" xfId="15762" xr:uid="{93FA7670-FF67-44C8-BEE0-273B267A2E7E}"/>
    <cellStyle name="Normal 4 4 3 4 2 3" xfId="11544" xr:uid="{F3792E1D-425A-4C0F-93BA-CE776A2CC909}"/>
    <cellStyle name="Normal 4 4 3 4 3" xfId="5175" xr:uid="{00000000-0005-0000-0000-0000A4150000}"/>
    <cellStyle name="Normal 4 4 3 4 3 2" xfId="13617" xr:uid="{A5F50800-7229-4169-BD0A-CC8124368FE0}"/>
    <cellStyle name="Normal 4 4 3 4 4" xfId="9399" xr:uid="{D46F2759-1545-40B1-8CBB-F48FE5DBBE89}"/>
    <cellStyle name="Normal 4 4 3 5" xfId="1280" xr:uid="{00000000-0005-0000-0000-0000A5150000}"/>
    <cellStyle name="Normal 4 4 3 5 2" xfId="3510" xr:uid="{00000000-0005-0000-0000-0000A6150000}"/>
    <cellStyle name="Normal 4 4 3 5 2 2" xfId="7733" xr:uid="{00000000-0005-0000-0000-0000A7150000}"/>
    <cellStyle name="Normal 4 4 3 5 2 2 2" xfId="16175" xr:uid="{8350D43B-DBCD-4A96-8A85-26206D0FFFEB}"/>
    <cellStyle name="Normal 4 4 3 5 2 3" xfId="11957" xr:uid="{7AA40003-B7AD-4A7F-B333-9D326D1169AB}"/>
    <cellStyle name="Normal 4 4 3 5 3" xfId="5588" xr:uid="{00000000-0005-0000-0000-0000A8150000}"/>
    <cellStyle name="Normal 4 4 3 5 3 2" xfId="14030" xr:uid="{D98E737D-FB23-4A37-9A7B-46338D029E93}"/>
    <cellStyle name="Normal 4 4 3 5 4" xfId="9812" xr:uid="{9004DC47-9FBE-4B3C-B36C-3B3402115772}"/>
    <cellStyle name="Normal 4 4 3 6" xfId="1693" xr:uid="{00000000-0005-0000-0000-0000A9150000}"/>
    <cellStyle name="Normal 4 4 3 6 2" xfId="3923" xr:uid="{00000000-0005-0000-0000-0000AA150000}"/>
    <cellStyle name="Normal 4 4 3 6 2 2" xfId="8146" xr:uid="{00000000-0005-0000-0000-0000AB150000}"/>
    <cellStyle name="Normal 4 4 3 6 2 2 2" xfId="16588" xr:uid="{12A7F020-4B8C-4F06-B66B-54E4252FAE97}"/>
    <cellStyle name="Normal 4 4 3 6 2 3" xfId="12370" xr:uid="{826977D3-3AFD-45C1-8537-3B8B2AED1E11}"/>
    <cellStyle name="Normal 4 4 3 6 3" xfId="6001" xr:uid="{00000000-0005-0000-0000-0000AC150000}"/>
    <cellStyle name="Normal 4 4 3 6 3 2" xfId="14443" xr:uid="{29157838-DFD7-40E9-9B13-94426E7DCC26}"/>
    <cellStyle name="Normal 4 4 3 6 4" xfId="10225" xr:uid="{7C1B33F8-D04D-4564-9C03-302F895B15AE}"/>
    <cellStyle name="Normal 4 4 3 7" xfId="2107" xr:uid="{00000000-0005-0000-0000-0000AD150000}"/>
    <cellStyle name="Normal 4 4 3 7 2" xfId="4336" xr:uid="{00000000-0005-0000-0000-0000AE150000}"/>
    <cellStyle name="Normal 4 4 3 7 2 2" xfId="8559" xr:uid="{00000000-0005-0000-0000-0000AF150000}"/>
    <cellStyle name="Normal 4 4 3 7 2 2 2" xfId="17001" xr:uid="{B40E04CB-B76D-4FF8-9AD4-B5838F4AF38F}"/>
    <cellStyle name="Normal 4 4 3 7 2 3" xfId="12783" xr:uid="{71F0E10F-7FEC-4B0A-93E5-49F4DEE15B93}"/>
    <cellStyle name="Normal 4 4 3 7 3" xfId="6414" xr:uid="{00000000-0005-0000-0000-0000B0150000}"/>
    <cellStyle name="Normal 4 4 3 7 3 2" xfId="14856" xr:uid="{49B39857-E973-41A5-AB37-4D70F8520951}"/>
    <cellStyle name="Normal 4 4 3 7 4" xfId="10638" xr:uid="{20DA092F-0971-447A-919A-145910A774C7}"/>
    <cellStyle name="Normal 4 4 3 8" xfId="2543" xr:uid="{00000000-0005-0000-0000-0000B1150000}"/>
    <cellStyle name="Normal 4 4 3 8 2" xfId="6827" xr:uid="{00000000-0005-0000-0000-0000B2150000}"/>
    <cellStyle name="Normal 4 4 3 8 2 2" xfId="15269" xr:uid="{291544BB-85DC-4D23-B105-2D4C74180F35}"/>
    <cellStyle name="Normal 4 4 3 8 3" xfId="11051" xr:uid="{D00F4355-0EA2-4FA8-9B73-747292935C90}"/>
    <cellStyle name="Normal 4 4 3 9" xfId="4762" xr:uid="{00000000-0005-0000-0000-0000B3150000}"/>
    <cellStyle name="Normal 4 4 3 9 2" xfId="13204" xr:uid="{42EDF10D-6B88-40A5-92FD-71EB1F753EAC}"/>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2 2 2" xfId="15767" xr:uid="{A0A711BB-54D0-4FAD-A81D-39A8F7C31F75}"/>
    <cellStyle name="Normal 4 4 4 2 2 2 3" xfId="11549" xr:uid="{F576A676-4F48-4BC5-B600-EB0431E637EA}"/>
    <cellStyle name="Normal 4 4 4 2 2 3" xfId="5180" xr:uid="{00000000-0005-0000-0000-0000B9150000}"/>
    <cellStyle name="Normal 4 4 4 2 2 3 2" xfId="13622" xr:uid="{AD94905A-16A0-41D3-9F29-E26B33AC1319}"/>
    <cellStyle name="Normal 4 4 4 2 2 4" xfId="9404" xr:uid="{0FE0993C-5B5C-40AA-B782-E12F316453CF}"/>
    <cellStyle name="Normal 4 4 4 2 3" xfId="1285" xr:uid="{00000000-0005-0000-0000-0000BA150000}"/>
    <cellStyle name="Normal 4 4 4 2 3 2" xfId="3515" xr:uid="{00000000-0005-0000-0000-0000BB150000}"/>
    <cellStyle name="Normal 4 4 4 2 3 2 2" xfId="7738" xr:uid="{00000000-0005-0000-0000-0000BC150000}"/>
    <cellStyle name="Normal 4 4 4 2 3 2 2 2" xfId="16180" xr:uid="{4BBB6FCB-7653-4FE1-9FA9-0D8A40303C14}"/>
    <cellStyle name="Normal 4 4 4 2 3 2 3" xfId="11962" xr:uid="{920AC3EE-C2C0-4316-970A-E96D4DCCE604}"/>
    <cellStyle name="Normal 4 4 4 2 3 3" xfId="5593" xr:uid="{00000000-0005-0000-0000-0000BD150000}"/>
    <cellStyle name="Normal 4 4 4 2 3 3 2" xfId="14035" xr:uid="{42E762B7-4BBF-4FC5-B928-3020F25F1E2A}"/>
    <cellStyle name="Normal 4 4 4 2 3 4" xfId="9817" xr:uid="{5A180BBC-C18A-4E16-9E7A-12843EAE70B5}"/>
    <cellStyle name="Normal 4 4 4 2 4" xfId="1698" xr:uid="{00000000-0005-0000-0000-0000BE150000}"/>
    <cellStyle name="Normal 4 4 4 2 4 2" xfId="3928" xr:uid="{00000000-0005-0000-0000-0000BF150000}"/>
    <cellStyle name="Normal 4 4 4 2 4 2 2" xfId="8151" xr:uid="{00000000-0005-0000-0000-0000C0150000}"/>
    <cellStyle name="Normal 4 4 4 2 4 2 2 2" xfId="16593" xr:uid="{64F97D5D-56F4-4CFA-B59A-7476AC109D33}"/>
    <cellStyle name="Normal 4 4 4 2 4 2 3" xfId="12375" xr:uid="{28C56191-8EB8-4D23-8019-3D32AB1EC9F9}"/>
    <cellStyle name="Normal 4 4 4 2 4 3" xfId="6006" xr:uid="{00000000-0005-0000-0000-0000C1150000}"/>
    <cellStyle name="Normal 4 4 4 2 4 3 2" xfId="14448" xr:uid="{57E5F7BA-22AB-4D0B-A85C-439BB0D02481}"/>
    <cellStyle name="Normal 4 4 4 2 4 4" xfId="10230" xr:uid="{CEA1DB44-869F-4FDC-B6DA-895F398C41CC}"/>
    <cellStyle name="Normal 4 4 4 2 5" xfId="2112" xr:uid="{00000000-0005-0000-0000-0000C2150000}"/>
    <cellStyle name="Normal 4 4 4 2 5 2" xfId="4341" xr:uid="{00000000-0005-0000-0000-0000C3150000}"/>
    <cellStyle name="Normal 4 4 4 2 5 2 2" xfId="8564" xr:uid="{00000000-0005-0000-0000-0000C4150000}"/>
    <cellStyle name="Normal 4 4 4 2 5 2 2 2" xfId="17006" xr:uid="{D5EB13CE-C933-469D-9E0A-4D4D138F6BF5}"/>
    <cellStyle name="Normal 4 4 4 2 5 2 3" xfId="12788" xr:uid="{838FF5F0-DBF4-4882-8ACA-170E8DB48FB9}"/>
    <cellStyle name="Normal 4 4 4 2 5 3" xfId="6419" xr:uid="{00000000-0005-0000-0000-0000C5150000}"/>
    <cellStyle name="Normal 4 4 4 2 5 3 2" xfId="14861" xr:uid="{9987B511-217C-48F3-9AB0-F8EC6E11849E}"/>
    <cellStyle name="Normal 4 4 4 2 5 4" xfId="10643" xr:uid="{09F694FF-885E-48D8-AD0B-91262F1D743A}"/>
    <cellStyle name="Normal 4 4 4 2 6" xfId="2548" xr:uid="{00000000-0005-0000-0000-0000C6150000}"/>
    <cellStyle name="Normal 4 4 4 2 6 2" xfId="6832" xr:uid="{00000000-0005-0000-0000-0000C7150000}"/>
    <cellStyle name="Normal 4 4 4 2 6 2 2" xfId="15274" xr:uid="{C7CFD7C3-508A-4D07-BE28-E05507A6440A}"/>
    <cellStyle name="Normal 4 4 4 2 6 3" xfId="11056" xr:uid="{C8050109-EBB4-411E-A404-80E76D9FAED4}"/>
    <cellStyle name="Normal 4 4 4 2 7" xfId="4767" xr:uid="{00000000-0005-0000-0000-0000C8150000}"/>
    <cellStyle name="Normal 4 4 4 2 7 2" xfId="13209" xr:uid="{F18A42A2-34B4-47A8-A0C1-196D190C06DE}"/>
    <cellStyle name="Normal 4 4 4 2 8" xfId="8991" xr:uid="{DB0828FF-5BE4-453C-B684-D80432EDE94E}"/>
    <cellStyle name="Normal 4 4 4 3" xfId="866" xr:uid="{00000000-0005-0000-0000-0000C9150000}"/>
    <cellStyle name="Normal 4 4 4 3 2" xfId="3101" xr:uid="{00000000-0005-0000-0000-0000CA150000}"/>
    <cellStyle name="Normal 4 4 4 3 2 2" xfId="7324" xr:uid="{00000000-0005-0000-0000-0000CB150000}"/>
    <cellStyle name="Normal 4 4 4 3 2 2 2" xfId="15766" xr:uid="{EBB5FB24-19BA-4582-83EC-40A4EDFA87CC}"/>
    <cellStyle name="Normal 4 4 4 3 2 3" xfId="11548" xr:uid="{F2752C44-3670-42A2-9104-55582524CE72}"/>
    <cellStyle name="Normal 4 4 4 3 3" xfId="5179" xr:uid="{00000000-0005-0000-0000-0000CC150000}"/>
    <cellStyle name="Normal 4 4 4 3 3 2" xfId="13621" xr:uid="{318AD510-7C3F-47DA-B65A-A7ABE4971E24}"/>
    <cellStyle name="Normal 4 4 4 3 4" xfId="9403" xr:uid="{E484127A-4B56-46AA-A1DA-7A8026214704}"/>
    <cellStyle name="Normal 4 4 4 4" xfId="1284" xr:uid="{00000000-0005-0000-0000-0000CD150000}"/>
    <cellStyle name="Normal 4 4 4 4 2" xfId="3514" xr:uid="{00000000-0005-0000-0000-0000CE150000}"/>
    <cellStyle name="Normal 4 4 4 4 2 2" xfId="7737" xr:uid="{00000000-0005-0000-0000-0000CF150000}"/>
    <cellStyle name="Normal 4 4 4 4 2 2 2" xfId="16179" xr:uid="{0161575F-79FE-4480-8E1E-173046073F7C}"/>
    <cellStyle name="Normal 4 4 4 4 2 3" xfId="11961" xr:uid="{2EE9CDE8-8E33-4DA3-8924-18A736050882}"/>
    <cellStyle name="Normal 4 4 4 4 3" xfId="5592" xr:uid="{00000000-0005-0000-0000-0000D0150000}"/>
    <cellStyle name="Normal 4 4 4 4 3 2" xfId="14034" xr:uid="{8833054B-C32B-4BB1-9A0A-9FB3C27D3956}"/>
    <cellStyle name="Normal 4 4 4 4 4" xfId="9816" xr:uid="{59C44126-A226-4789-ACB5-C29BE5818C11}"/>
    <cellStyle name="Normal 4 4 4 5" xfId="1697" xr:uid="{00000000-0005-0000-0000-0000D1150000}"/>
    <cellStyle name="Normal 4 4 4 5 2" xfId="3927" xr:uid="{00000000-0005-0000-0000-0000D2150000}"/>
    <cellStyle name="Normal 4 4 4 5 2 2" xfId="8150" xr:uid="{00000000-0005-0000-0000-0000D3150000}"/>
    <cellStyle name="Normal 4 4 4 5 2 2 2" xfId="16592" xr:uid="{7B21525A-761D-4E13-B061-C4FA78D803A1}"/>
    <cellStyle name="Normal 4 4 4 5 2 3" xfId="12374" xr:uid="{7313A1ED-342C-40D1-8A3E-50553B385BBD}"/>
    <cellStyle name="Normal 4 4 4 5 3" xfId="6005" xr:uid="{00000000-0005-0000-0000-0000D4150000}"/>
    <cellStyle name="Normal 4 4 4 5 3 2" xfId="14447" xr:uid="{6D3C5FDB-C19A-441A-8C95-1F63D1C637F6}"/>
    <cellStyle name="Normal 4 4 4 5 4" xfId="10229" xr:uid="{D764C323-0FCF-4A21-9D17-6751868BF666}"/>
    <cellStyle name="Normal 4 4 4 6" xfId="2111" xr:uid="{00000000-0005-0000-0000-0000D5150000}"/>
    <cellStyle name="Normal 4 4 4 6 2" xfId="4340" xr:uid="{00000000-0005-0000-0000-0000D6150000}"/>
    <cellStyle name="Normal 4 4 4 6 2 2" xfId="8563" xr:uid="{00000000-0005-0000-0000-0000D7150000}"/>
    <cellStyle name="Normal 4 4 4 6 2 2 2" xfId="17005" xr:uid="{7BDEA2AD-992F-47FB-ABF3-437F4398CFB4}"/>
    <cellStyle name="Normal 4 4 4 6 2 3" xfId="12787" xr:uid="{782F5DE4-B77D-4704-8CA5-DDC7954F0160}"/>
    <cellStyle name="Normal 4 4 4 6 3" xfId="6418" xr:uid="{00000000-0005-0000-0000-0000D8150000}"/>
    <cellStyle name="Normal 4 4 4 6 3 2" xfId="14860" xr:uid="{EAB1A2E3-B059-44B5-BA8C-8B567C560305}"/>
    <cellStyle name="Normal 4 4 4 6 4" xfId="10642" xr:uid="{66E7925F-938C-4D59-9535-23E34F6FB5D8}"/>
    <cellStyle name="Normal 4 4 4 7" xfId="2547" xr:uid="{00000000-0005-0000-0000-0000D9150000}"/>
    <cellStyle name="Normal 4 4 4 7 2" xfId="6831" xr:uid="{00000000-0005-0000-0000-0000DA150000}"/>
    <cellStyle name="Normal 4 4 4 7 2 2" xfId="15273" xr:uid="{037C416D-65D4-4BD8-AFB8-7DBC4EF278AE}"/>
    <cellStyle name="Normal 4 4 4 7 3" xfId="11055" xr:uid="{29253E03-F15C-4DCA-9131-D08F777917F4}"/>
    <cellStyle name="Normal 4 4 4 8" xfId="4766" xr:uid="{00000000-0005-0000-0000-0000DB150000}"/>
    <cellStyle name="Normal 4 4 4 8 2" xfId="13208" xr:uid="{1458EDAE-178A-4DF9-B9CE-8962C514DCC1}"/>
    <cellStyle name="Normal 4 4 4 9" xfId="8990" xr:uid="{FD7E376D-E1DF-484A-8162-A0978BCC15F3}"/>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2 2 2" xfId="15768" xr:uid="{0FE018F7-FA88-4DE8-9DB9-13D65FFB3282}"/>
    <cellStyle name="Normal 4 4 5 2 2 3" xfId="11550" xr:uid="{29585907-4655-4ABA-B6BA-553207BE2A51}"/>
    <cellStyle name="Normal 4 4 5 2 3" xfId="5181" xr:uid="{00000000-0005-0000-0000-0000E0150000}"/>
    <cellStyle name="Normal 4 4 5 2 3 2" xfId="13623" xr:uid="{68743939-F86B-4D44-AF48-B90E19CC1287}"/>
    <cellStyle name="Normal 4 4 5 2 4" xfId="9405" xr:uid="{03C11974-F4EE-496E-82D1-DF6754CA5905}"/>
    <cellStyle name="Normal 4 4 5 3" xfId="1286" xr:uid="{00000000-0005-0000-0000-0000E1150000}"/>
    <cellStyle name="Normal 4 4 5 3 2" xfId="3516" xr:uid="{00000000-0005-0000-0000-0000E2150000}"/>
    <cellStyle name="Normal 4 4 5 3 2 2" xfId="7739" xr:uid="{00000000-0005-0000-0000-0000E3150000}"/>
    <cellStyle name="Normal 4 4 5 3 2 2 2" xfId="16181" xr:uid="{2FBDE113-05B3-4E40-8697-624958A68582}"/>
    <cellStyle name="Normal 4 4 5 3 2 3" xfId="11963" xr:uid="{5EF773F2-C2D3-4DA7-8A7C-95CBEAC37AD6}"/>
    <cellStyle name="Normal 4 4 5 3 3" xfId="5594" xr:uid="{00000000-0005-0000-0000-0000E4150000}"/>
    <cellStyle name="Normal 4 4 5 3 3 2" xfId="14036" xr:uid="{23D398E5-0146-4C70-99B0-40266D8D5303}"/>
    <cellStyle name="Normal 4 4 5 3 4" xfId="9818" xr:uid="{8752F3B6-E6FA-4D4A-A1E1-B65B5EC96116}"/>
    <cellStyle name="Normal 4 4 5 4" xfId="1699" xr:uid="{00000000-0005-0000-0000-0000E5150000}"/>
    <cellStyle name="Normal 4 4 5 4 2" xfId="3929" xr:uid="{00000000-0005-0000-0000-0000E6150000}"/>
    <cellStyle name="Normal 4 4 5 4 2 2" xfId="8152" xr:uid="{00000000-0005-0000-0000-0000E7150000}"/>
    <cellStyle name="Normal 4 4 5 4 2 2 2" xfId="16594" xr:uid="{3456D2AD-C733-491D-98B6-717CF58F0F28}"/>
    <cellStyle name="Normal 4 4 5 4 2 3" xfId="12376" xr:uid="{0C1EAB29-FEBB-4296-B2A5-B25B2B35D70F}"/>
    <cellStyle name="Normal 4 4 5 4 3" xfId="6007" xr:uid="{00000000-0005-0000-0000-0000E8150000}"/>
    <cellStyle name="Normal 4 4 5 4 3 2" xfId="14449" xr:uid="{3F1A6B4D-A3FD-48BE-A860-28BEFB616C16}"/>
    <cellStyle name="Normal 4 4 5 4 4" xfId="10231" xr:uid="{A0D6059D-D9F4-48D6-9BB0-3307C8C8659F}"/>
    <cellStyle name="Normal 4 4 5 5" xfId="2113" xr:uid="{00000000-0005-0000-0000-0000E9150000}"/>
    <cellStyle name="Normal 4 4 5 5 2" xfId="4342" xr:uid="{00000000-0005-0000-0000-0000EA150000}"/>
    <cellStyle name="Normal 4 4 5 5 2 2" xfId="8565" xr:uid="{00000000-0005-0000-0000-0000EB150000}"/>
    <cellStyle name="Normal 4 4 5 5 2 2 2" xfId="17007" xr:uid="{1DD49C26-9C05-4AAF-A450-90DB3DF13F63}"/>
    <cellStyle name="Normal 4 4 5 5 2 3" xfId="12789" xr:uid="{A1541151-9195-47E3-B96E-73503B2E6769}"/>
    <cellStyle name="Normal 4 4 5 5 3" xfId="6420" xr:uid="{00000000-0005-0000-0000-0000EC150000}"/>
    <cellStyle name="Normal 4 4 5 5 3 2" xfId="14862" xr:uid="{87228678-6D34-4013-A49D-B5CD793DC840}"/>
    <cellStyle name="Normal 4 4 5 5 4" xfId="10644" xr:uid="{4E5C8212-0DA0-4966-971E-94E2325A7EA5}"/>
    <cellStyle name="Normal 4 4 5 6" xfId="2549" xr:uid="{00000000-0005-0000-0000-0000ED150000}"/>
    <cellStyle name="Normal 4 4 5 6 2" xfId="6833" xr:uid="{00000000-0005-0000-0000-0000EE150000}"/>
    <cellStyle name="Normal 4 4 5 6 2 2" xfId="15275" xr:uid="{5FEFCB8A-8F7E-4723-AF41-36D79071DC2F}"/>
    <cellStyle name="Normal 4 4 5 6 3" xfId="11057" xr:uid="{2B6A6E6B-C918-42C4-93D6-7008FF12746A}"/>
    <cellStyle name="Normal 4 4 5 7" xfId="4768" xr:uid="{00000000-0005-0000-0000-0000EF150000}"/>
    <cellStyle name="Normal 4 4 5 7 2" xfId="13210" xr:uid="{A024F5D4-49EB-4D5A-B3C8-365E5B6898A0}"/>
    <cellStyle name="Normal 4 4 5 8" xfId="8992" xr:uid="{E8E02CC8-FE6C-45FF-B2B2-CF38389177E1}"/>
    <cellStyle name="Normal 4 4 6" xfId="853" xr:uid="{00000000-0005-0000-0000-0000F0150000}"/>
    <cellStyle name="Normal 4 4 6 2" xfId="3088" xr:uid="{00000000-0005-0000-0000-0000F1150000}"/>
    <cellStyle name="Normal 4 4 6 2 2" xfId="7311" xr:uid="{00000000-0005-0000-0000-0000F2150000}"/>
    <cellStyle name="Normal 4 4 6 2 2 2" xfId="15753" xr:uid="{BB1CDBD5-A462-4C61-B7E0-3D630F5E6B7B}"/>
    <cellStyle name="Normal 4 4 6 2 3" xfId="11535" xr:uid="{A9E4F4A0-8930-49FE-8014-C1BC2B1CCBC7}"/>
    <cellStyle name="Normal 4 4 6 3" xfId="5166" xr:uid="{00000000-0005-0000-0000-0000F3150000}"/>
    <cellStyle name="Normal 4 4 6 3 2" xfId="13608" xr:uid="{2FB1B9B2-6FC4-4E1B-839C-B5134419F64B}"/>
    <cellStyle name="Normal 4 4 6 4" xfId="9390" xr:uid="{F74F86B4-6D55-4513-AA40-496F02616A5A}"/>
    <cellStyle name="Normal 4 4 7" xfId="1271" xr:uid="{00000000-0005-0000-0000-0000F4150000}"/>
    <cellStyle name="Normal 4 4 7 2" xfId="3501" xr:uid="{00000000-0005-0000-0000-0000F5150000}"/>
    <cellStyle name="Normal 4 4 7 2 2" xfId="7724" xr:uid="{00000000-0005-0000-0000-0000F6150000}"/>
    <cellStyle name="Normal 4 4 7 2 2 2" xfId="16166" xr:uid="{CA211C16-1F12-42E4-8E05-13C809835CB8}"/>
    <cellStyle name="Normal 4 4 7 2 3" xfId="11948" xr:uid="{75FB957A-D384-4EC2-A376-9816281A63DC}"/>
    <cellStyle name="Normal 4 4 7 3" xfId="5579" xr:uid="{00000000-0005-0000-0000-0000F7150000}"/>
    <cellStyle name="Normal 4 4 7 3 2" xfId="14021" xr:uid="{2A386163-95C7-458B-99DB-20680CBC4E6F}"/>
    <cellStyle name="Normal 4 4 7 4" xfId="9803" xr:uid="{1C17156F-69DA-4AC3-B30A-64B5CDCDFD6A}"/>
    <cellStyle name="Normal 4 4 8" xfId="1684" xr:uid="{00000000-0005-0000-0000-0000F8150000}"/>
    <cellStyle name="Normal 4 4 8 2" xfId="3914" xr:uid="{00000000-0005-0000-0000-0000F9150000}"/>
    <cellStyle name="Normal 4 4 8 2 2" xfId="8137" xr:uid="{00000000-0005-0000-0000-0000FA150000}"/>
    <cellStyle name="Normal 4 4 8 2 2 2" xfId="16579" xr:uid="{3DB47FE6-01E2-46EF-A862-E9246B430946}"/>
    <cellStyle name="Normal 4 4 8 2 3" xfId="12361" xr:uid="{3A586D0A-A1C1-42BD-80FC-C0CFB0ABDF88}"/>
    <cellStyle name="Normal 4 4 8 3" xfId="5992" xr:uid="{00000000-0005-0000-0000-0000FB150000}"/>
    <cellStyle name="Normal 4 4 8 3 2" xfId="14434" xr:uid="{144C9970-AFDC-4C51-B7CF-0368DE86207F}"/>
    <cellStyle name="Normal 4 4 8 4" xfId="10216" xr:uid="{E9A54764-0D87-4097-BC36-7663D59AFDA3}"/>
    <cellStyle name="Normal 4 4 9" xfId="2098" xr:uid="{00000000-0005-0000-0000-0000FC150000}"/>
    <cellStyle name="Normal 4 4 9 2" xfId="4327" xr:uid="{00000000-0005-0000-0000-0000FD150000}"/>
    <cellStyle name="Normal 4 4 9 2 2" xfId="8550" xr:uid="{00000000-0005-0000-0000-0000FE150000}"/>
    <cellStyle name="Normal 4 4 9 2 2 2" xfId="16992" xr:uid="{77635056-B0B5-466F-B9F2-F0481182E69C}"/>
    <cellStyle name="Normal 4 4 9 2 3" xfId="12774" xr:uid="{55575823-1868-40C2-B6DE-322C4402C214}"/>
    <cellStyle name="Normal 4 4 9 3" xfId="6405" xr:uid="{00000000-0005-0000-0000-0000FF150000}"/>
    <cellStyle name="Normal 4 4 9 3 2" xfId="14847" xr:uid="{04A210DF-3009-4914-9D94-0F4F3428E490}"/>
    <cellStyle name="Normal 4 4 9 4" xfId="10629" xr:uid="{0A4CCEDA-9021-4465-83E0-C4FFB8BB42F6}"/>
    <cellStyle name="Normal 4 5" xfId="394" xr:uid="{00000000-0005-0000-0000-000000160000}"/>
    <cellStyle name="Normal 4 6" xfId="395" xr:uid="{00000000-0005-0000-0000-000001160000}"/>
    <cellStyle name="Normal 4 6 10" xfId="4769" xr:uid="{00000000-0005-0000-0000-000002160000}"/>
    <cellStyle name="Normal 4 6 10 2" xfId="13211" xr:uid="{75209D25-4C87-4280-A0E3-756323D81994}"/>
    <cellStyle name="Normal 4 6 11" xfId="8993" xr:uid="{FF1FCCF6-9786-46C1-A5C2-50A3912D5FF8}"/>
    <cellStyle name="Normal 4 6 2" xfId="396" xr:uid="{00000000-0005-0000-0000-000003160000}"/>
    <cellStyle name="Normal 4 6 2 10" xfId="8994" xr:uid="{01A3E6DC-4DAC-4AA4-9927-73BE9540BF7B}"/>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2 2 2" xfId="15772" xr:uid="{13F076E6-2167-4CCE-B16E-3427E4551539}"/>
    <cellStyle name="Normal 4 6 2 2 2 2 2 3" xfId="11554" xr:uid="{423670C5-8324-4FF5-8B49-AB89BE38BF63}"/>
    <cellStyle name="Normal 4 6 2 2 2 2 3" xfId="5185" xr:uid="{00000000-0005-0000-0000-000009160000}"/>
    <cellStyle name="Normal 4 6 2 2 2 2 3 2" xfId="13627" xr:uid="{2D809CF2-2F59-49F9-A14F-77441285C020}"/>
    <cellStyle name="Normal 4 6 2 2 2 2 4" xfId="9409" xr:uid="{8B8372CD-9905-426E-BE56-37FEB787AB88}"/>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2 2 2" xfId="16185" xr:uid="{C86F2182-5A3F-47B7-B946-18EA0023FBC5}"/>
    <cellStyle name="Normal 4 6 2 2 2 3 2 3" xfId="11967" xr:uid="{8559B889-868A-47C1-89C7-DFCC2604B129}"/>
    <cellStyle name="Normal 4 6 2 2 2 3 3" xfId="5598" xr:uid="{00000000-0005-0000-0000-00000D160000}"/>
    <cellStyle name="Normal 4 6 2 2 2 3 3 2" xfId="14040" xr:uid="{A2A057EF-0196-40EE-86FC-21409DB7321F}"/>
    <cellStyle name="Normal 4 6 2 2 2 3 4" xfId="9822" xr:uid="{B1962E26-06B0-4356-B680-4FC3D7C2EFC3}"/>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2 2 2" xfId="16598" xr:uid="{FCF3DC88-DDEE-458A-B75D-3993C8BED8CF}"/>
    <cellStyle name="Normal 4 6 2 2 2 4 2 3" xfId="12380" xr:uid="{4D5B602D-F4D4-4CD6-BF10-5569EC5BD5CC}"/>
    <cellStyle name="Normal 4 6 2 2 2 4 3" xfId="6011" xr:uid="{00000000-0005-0000-0000-000011160000}"/>
    <cellStyle name="Normal 4 6 2 2 2 4 3 2" xfId="14453" xr:uid="{8F43D87E-DCC5-43FF-BC87-A7CB65FDB3D0}"/>
    <cellStyle name="Normal 4 6 2 2 2 4 4" xfId="10235" xr:uid="{1F61F760-74EF-4C12-A02C-231F95803DC4}"/>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2 2 2" xfId="17011" xr:uid="{2ED9BA62-65FA-4A65-B55B-4EDB594BB05B}"/>
    <cellStyle name="Normal 4 6 2 2 2 5 2 3" xfId="12793" xr:uid="{C543F54F-4366-4A0E-9F49-E2BAAB459A4B}"/>
    <cellStyle name="Normal 4 6 2 2 2 5 3" xfId="6424" xr:uid="{00000000-0005-0000-0000-000015160000}"/>
    <cellStyle name="Normal 4 6 2 2 2 5 3 2" xfId="14866" xr:uid="{3DB65680-959F-4EA5-94A8-989FE0C4918A}"/>
    <cellStyle name="Normal 4 6 2 2 2 5 4" xfId="10648" xr:uid="{B9E05596-C944-449B-8A5A-9A04E119C5C2}"/>
    <cellStyle name="Normal 4 6 2 2 2 6" xfId="2553" xr:uid="{00000000-0005-0000-0000-000016160000}"/>
    <cellStyle name="Normal 4 6 2 2 2 6 2" xfId="6837" xr:uid="{00000000-0005-0000-0000-000017160000}"/>
    <cellStyle name="Normal 4 6 2 2 2 6 2 2" xfId="15279" xr:uid="{A8165166-02B2-4397-B2A2-5779BEBBE9AE}"/>
    <cellStyle name="Normal 4 6 2 2 2 6 3" xfId="11061" xr:uid="{EC61B90D-71AB-4299-97C4-A0F6A6A6DEFA}"/>
    <cellStyle name="Normal 4 6 2 2 2 7" xfId="4772" xr:uid="{00000000-0005-0000-0000-000018160000}"/>
    <cellStyle name="Normal 4 6 2 2 2 7 2" xfId="13214" xr:uid="{91A871FF-EB65-4E6D-B7AF-0FA9EDB79355}"/>
    <cellStyle name="Normal 4 6 2 2 2 8" xfId="8996" xr:uid="{B8C0EB0E-E0B3-416E-8BA5-1B8DC6AD3A09}"/>
    <cellStyle name="Normal 4 6 2 2 3" xfId="871" xr:uid="{00000000-0005-0000-0000-000019160000}"/>
    <cellStyle name="Normal 4 6 2 2 3 2" xfId="3106" xr:uid="{00000000-0005-0000-0000-00001A160000}"/>
    <cellStyle name="Normal 4 6 2 2 3 2 2" xfId="7329" xr:uid="{00000000-0005-0000-0000-00001B160000}"/>
    <cellStyle name="Normal 4 6 2 2 3 2 2 2" xfId="15771" xr:uid="{4B6D31AC-E90E-430F-8D44-2583A1CDF0C4}"/>
    <cellStyle name="Normal 4 6 2 2 3 2 3" xfId="11553" xr:uid="{791EDC10-836A-497F-829D-C8F4C766DACA}"/>
    <cellStyle name="Normal 4 6 2 2 3 3" xfId="5184" xr:uid="{00000000-0005-0000-0000-00001C160000}"/>
    <cellStyle name="Normal 4 6 2 2 3 3 2" xfId="13626" xr:uid="{8BEF51F2-7A50-4A12-A429-5F301B1D8ABB}"/>
    <cellStyle name="Normal 4 6 2 2 3 4" xfId="9408" xr:uid="{59FE85C3-B556-47B7-AD9D-7311B75CF040}"/>
    <cellStyle name="Normal 4 6 2 2 4" xfId="1289" xr:uid="{00000000-0005-0000-0000-00001D160000}"/>
    <cellStyle name="Normal 4 6 2 2 4 2" xfId="3519" xr:uid="{00000000-0005-0000-0000-00001E160000}"/>
    <cellStyle name="Normal 4 6 2 2 4 2 2" xfId="7742" xr:uid="{00000000-0005-0000-0000-00001F160000}"/>
    <cellStyle name="Normal 4 6 2 2 4 2 2 2" xfId="16184" xr:uid="{88610A13-3DBB-4F76-A119-BBBFA45A07E9}"/>
    <cellStyle name="Normal 4 6 2 2 4 2 3" xfId="11966" xr:uid="{8D821D60-4C31-40C3-8743-2F8A20821D0E}"/>
    <cellStyle name="Normal 4 6 2 2 4 3" xfId="5597" xr:uid="{00000000-0005-0000-0000-000020160000}"/>
    <cellStyle name="Normal 4 6 2 2 4 3 2" xfId="14039" xr:uid="{7D7C2711-E5D5-4ABC-9ED7-16668F207A06}"/>
    <cellStyle name="Normal 4 6 2 2 4 4" xfId="9821" xr:uid="{6833BFF5-BBD8-4D67-8BA0-C1C384310A10}"/>
    <cellStyle name="Normal 4 6 2 2 5" xfId="1702" xr:uid="{00000000-0005-0000-0000-000021160000}"/>
    <cellStyle name="Normal 4 6 2 2 5 2" xfId="3932" xr:uid="{00000000-0005-0000-0000-000022160000}"/>
    <cellStyle name="Normal 4 6 2 2 5 2 2" xfId="8155" xr:uid="{00000000-0005-0000-0000-000023160000}"/>
    <cellStyle name="Normal 4 6 2 2 5 2 2 2" xfId="16597" xr:uid="{325E6D17-D04B-4927-B546-574648B3B2AC}"/>
    <cellStyle name="Normal 4 6 2 2 5 2 3" xfId="12379" xr:uid="{ED218DAB-F1B8-41B7-B216-80CAFB5C828E}"/>
    <cellStyle name="Normal 4 6 2 2 5 3" xfId="6010" xr:uid="{00000000-0005-0000-0000-000024160000}"/>
    <cellStyle name="Normal 4 6 2 2 5 3 2" xfId="14452" xr:uid="{A4A46C87-B159-4406-92FC-338E04E4D568}"/>
    <cellStyle name="Normal 4 6 2 2 5 4" xfId="10234" xr:uid="{AD26A7CB-0C3F-4B8D-8E94-9551B7B7EF28}"/>
    <cellStyle name="Normal 4 6 2 2 6" xfId="2116" xr:uid="{00000000-0005-0000-0000-000025160000}"/>
    <cellStyle name="Normal 4 6 2 2 6 2" xfId="4345" xr:uid="{00000000-0005-0000-0000-000026160000}"/>
    <cellStyle name="Normal 4 6 2 2 6 2 2" xfId="8568" xr:uid="{00000000-0005-0000-0000-000027160000}"/>
    <cellStyle name="Normal 4 6 2 2 6 2 2 2" xfId="17010" xr:uid="{48C35361-8735-4DCE-9373-BCF8ED4B2F42}"/>
    <cellStyle name="Normal 4 6 2 2 6 2 3" xfId="12792" xr:uid="{24FAAE07-226B-4A07-9A34-D981593D6452}"/>
    <cellStyle name="Normal 4 6 2 2 6 3" xfId="6423" xr:uid="{00000000-0005-0000-0000-000028160000}"/>
    <cellStyle name="Normal 4 6 2 2 6 3 2" xfId="14865" xr:uid="{5789D385-7D55-4B74-9723-545755A7CE71}"/>
    <cellStyle name="Normal 4 6 2 2 6 4" xfId="10647" xr:uid="{286A4CE6-1CEF-4A74-BC69-90E366034E19}"/>
    <cellStyle name="Normal 4 6 2 2 7" xfId="2552" xr:uid="{00000000-0005-0000-0000-000029160000}"/>
    <cellStyle name="Normal 4 6 2 2 7 2" xfId="6836" xr:uid="{00000000-0005-0000-0000-00002A160000}"/>
    <cellStyle name="Normal 4 6 2 2 7 2 2" xfId="15278" xr:uid="{ADD7A741-744C-4EC3-B3C7-EA8B876911ED}"/>
    <cellStyle name="Normal 4 6 2 2 7 3" xfId="11060" xr:uid="{2AB6C687-E3B8-4545-8888-F22326F9F57C}"/>
    <cellStyle name="Normal 4 6 2 2 8" xfId="4771" xr:uid="{00000000-0005-0000-0000-00002B160000}"/>
    <cellStyle name="Normal 4 6 2 2 8 2" xfId="13213" xr:uid="{0C65BFE1-B62E-4F06-B934-129636714019}"/>
    <cellStyle name="Normal 4 6 2 2 9" xfId="8995" xr:uid="{ADEBD751-6B22-4453-A642-2C856FFF2C6E}"/>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2 2 2" xfId="15773" xr:uid="{CAE58844-15B7-46D6-BED8-3DF6BF6FAE12}"/>
    <cellStyle name="Normal 4 6 2 3 2 2 3" xfId="11555" xr:uid="{CFF7AB10-2274-4FCA-9AEA-0BCF0F5098C2}"/>
    <cellStyle name="Normal 4 6 2 3 2 3" xfId="5186" xr:uid="{00000000-0005-0000-0000-000030160000}"/>
    <cellStyle name="Normal 4 6 2 3 2 3 2" xfId="13628" xr:uid="{6FE78923-E09B-48C5-8D05-03409BFC5223}"/>
    <cellStyle name="Normal 4 6 2 3 2 4" xfId="9410" xr:uid="{068D3649-5706-4274-BAA2-6A4501469809}"/>
    <cellStyle name="Normal 4 6 2 3 3" xfId="1291" xr:uid="{00000000-0005-0000-0000-000031160000}"/>
    <cellStyle name="Normal 4 6 2 3 3 2" xfId="3521" xr:uid="{00000000-0005-0000-0000-000032160000}"/>
    <cellStyle name="Normal 4 6 2 3 3 2 2" xfId="7744" xr:uid="{00000000-0005-0000-0000-000033160000}"/>
    <cellStyle name="Normal 4 6 2 3 3 2 2 2" xfId="16186" xr:uid="{AB2CC37A-027F-4B8E-859A-CBA0A968BBAE}"/>
    <cellStyle name="Normal 4 6 2 3 3 2 3" xfId="11968" xr:uid="{B690A100-657B-4467-BF57-392B410C770A}"/>
    <cellStyle name="Normal 4 6 2 3 3 3" xfId="5599" xr:uid="{00000000-0005-0000-0000-000034160000}"/>
    <cellStyle name="Normal 4 6 2 3 3 3 2" xfId="14041" xr:uid="{610DCAC0-8E15-4BB3-86F9-625AE2D413CC}"/>
    <cellStyle name="Normal 4 6 2 3 3 4" xfId="9823" xr:uid="{706E1842-661E-4D9C-85BB-D8A6205FEF69}"/>
    <cellStyle name="Normal 4 6 2 3 4" xfId="1704" xr:uid="{00000000-0005-0000-0000-000035160000}"/>
    <cellStyle name="Normal 4 6 2 3 4 2" xfId="3934" xr:uid="{00000000-0005-0000-0000-000036160000}"/>
    <cellStyle name="Normal 4 6 2 3 4 2 2" xfId="8157" xr:uid="{00000000-0005-0000-0000-000037160000}"/>
    <cellStyle name="Normal 4 6 2 3 4 2 2 2" xfId="16599" xr:uid="{D62C4634-6912-4E92-88EE-D3747EDD7768}"/>
    <cellStyle name="Normal 4 6 2 3 4 2 3" xfId="12381" xr:uid="{7B4184A4-A8AB-40EE-9924-E53F5E7820A5}"/>
    <cellStyle name="Normal 4 6 2 3 4 3" xfId="6012" xr:uid="{00000000-0005-0000-0000-000038160000}"/>
    <cellStyle name="Normal 4 6 2 3 4 3 2" xfId="14454" xr:uid="{5C88FF77-1086-4983-B5D9-EB933C68DF20}"/>
    <cellStyle name="Normal 4 6 2 3 4 4" xfId="10236" xr:uid="{2C1787BF-60D0-4215-9A4A-130BAB3193FE}"/>
    <cellStyle name="Normal 4 6 2 3 5" xfId="2118" xr:uid="{00000000-0005-0000-0000-000039160000}"/>
    <cellStyle name="Normal 4 6 2 3 5 2" xfId="4347" xr:uid="{00000000-0005-0000-0000-00003A160000}"/>
    <cellStyle name="Normal 4 6 2 3 5 2 2" xfId="8570" xr:uid="{00000000-0005-0000-0000-00003B160000}"/>
    <cellStyle name="Normal 4 6 2 3 5 2 2 2" xfId="17012" xr:uid="{08AFE354-7D06-4C24-B194-CB9DF21CBA1D}"/>
    <cellStyle name="Normal 4 6 2 3 5 2 3" xfId="12794" xr:uid="{EE9AD68E-8842-4FB0-9D5C-FE4664A270AC}"/>
    <cellStyle name="Normal 4 6 2 3 5 3" xfId="6425" xr:uid="{00000000-0005-0000-0000-00003C160000}"/>
    <cellStyle name="Normal 4 6 2 3 5 3 2" xfId="14867" xr:uid="{0B65575E-277E-4EE8-80F7-BFC5353ABB6E}"/>
    <cellStyle name="Normal 4 6 2 3 5 4" xfId="10649" xr:uid="{5B533BBC-38C9-4FDF-A94C-083F8A57F69F}"/>
    <cellStyle name="Normal 4 6 2 3 6" xfId="2554" xr:uid="{00000000-0005-0000-0000-00003D160000}"/>
    <cellStyle name="Normal 4 6 2 3 6 2" xfId="6838" xr:uid="{00000000-0005-0000-0000-00003E160000}"/>
    <cellStyle name="Normal 4 6 2 3 6 2 2" xfId="15280" xr:uid="{DA82EE4A-8487-42C4-A0B5-A541282B8F2B}"/>
    <cellStyle name="Normal 4 6 2 3 6 3" xfId="11062" xr:uid="{42840746-6EC6-4F30-92D4-F3513441D134}"/>
    <cellStyle name="Normal 4 6 2 3 7" xfId="4773" xr:uid="{00000000-0005-0000-0000-00003F160000}"/>
    <cellStyle name="Normal 4 6 2 3 7 2" xfId="13215" xr:uid="{A92D3A8C-36D4-4815-92CB-7147FB11ABFE}"/>
    <cellStyle name="Normal 4 6 2 3 8" xfId="8997" xr:uid="{71F76DD4-FCF3-4E39-ADEA-03120F028807}"/>
    <cellStyle name="Normal 4 6 2 4" xfId="870" xr:uid="{00000000-0005-0000-0000-000040160000}"/>
    <cellStyle name="Normal 4 6 2 4 2" xfId="3105" xr:uid="{00000000-0005-0000-0000-000041160000}"/>
    <cellStyle name="Normal 4 6 2 4 2 2" xfId="7328" xr:uid="{00000000-0005-0000-0000-000042160000}"/>
    <cellStyle name="Normal 4 6 2 4 2 2 2" xfId="15770" xr:uid="{FBD539A0-DDF3-4834-9BEC-243521204E8F}"/>
    <cellStyle name="Normal 4 6 2 4 2 3" xfId="11552" xr:uid="{E8AB811F-FD1D-49C5-BBA0-76C8E99B520A}"/>
    <cellStyle name="Normal 4 6 2 4 3" xfId="5183" xr:uid="{00000000-0005-0000-0000-000043160000}"/>
    <cellStyle name="Normal 4 6 2 4 3 2" xfId="13625" xr:uid="{33E52EB1-4557-46B5-B0F1-7D9A58904BA4}"/>
    <cellStyle name="Normal 4 6 2 4 4" xfId="9407" xr:uid="{04629346-8929-48CD-A6BD-340AAEE04C95}"/>
    <cellStyle name="Normal 4 6 2 5" xfId="1288" xr:uid="{00000000-0005-0000-0000-000044160000}"/>
    <cellStyle name="Normal 4 6 2 5 2" xfId="3518" xr:uid="{00000000-0005-0000-0000-000045160000}"/>
    <cellStyle name="Normal 4 6 2 5 2 2" xfId="7741" xr:uid="{00000000-0005-0000-0000-000046160000}"/>
    <cellStyle name="Normal 4 6 2 5 2 2 2" xfId="16183" xr:uid="{489DEF91-CF7B-46A6-B382-B5970E0089C8}"/>
    <cellStyle name="Normal 4 6 2 5 2 3" xfId="11965" xr:uid="{583F9F0B-AC44-4133-98A4-B8BED289AF2F}"/>
    <cellStyle name="Normal 4 6 2 5 3" xfId="5596" xr:uid="{00000000-0005-0000-0000-000047160000}"/>
    <cellStyle name="Normal 4 6 2 5 3 2" xfId="14038" xr:uid="{314D605F-B0E4-4D76-AAF0-96444BCDC725}"/>
    <cellStyle name="Normal 4 6 2 5 4" xfId="9820" xr:uid="{609F8E93-9F14-43A4-B3DA-63F970ED0BED}"/>
    <cellStyle name="Normal 4 6 2 6" xfId="1701" xr:uid="{00000000-0005-0000-0000-000048160000}"/>
    <cellStyle name="Normal 4 6 2 6 2" xfId="3931" xr:uid="{00000000-0005-0000-0000-000049160000}"/>
    <cellStyle name="Normal 4 6 2 6 2 2" xfId="8154" xr:uid="{00000000-0005-0000-0000-00004A160000}"/>
    <cellStyle name="Normal 4 6 2 6 2 2 2" xfId="16596" xr:uid="{0C5F8DC1-2B15-4BBE-8A8E-DE071DD0300A}"/>
    <cellStyle name="Normal 4 6 2 6 2 3" xfId="12378" xr:uid="{7E20D25F-8EFE-461F-9968-0BAB357F5F31}"/>
    <cellStyle name="Normal 4 6 2 6 3" xfId="6009" xr:uid="{00000000-0005-0000-0000-00004B160000}"/>
    <cellStyle name="Normal 4 6 2 6 3 2" xfId="14451" xr:uid="{D36CFD08-A767-43AA-A4AB-F79927CA6503}"/>
    <cellStyle name="Normal 4 6 2 6 4" xfId="10233" xr:uid="{323B386C-D95A-453B-B349-4D3EB671A2B0}"/>
    <cellStyle name="Normal 4 6 2 7" xfId="2115" xr:uid="{00000000-0005-0000-0000-00004C160000}"/>
    <cellStyle name="Normal 4 6 2 7 2" xfId="4344" xr:uid="{00000000-0005-0000-0000-00004D160000}"/>
    <cellStyle name="Normal 4 6 2 7 2 2" xfId="8567" xr:uid="{00000000-0005-0000-0000-00004E160000}"/>
    <cellStyle name="Normal 4 6 2 7 2 2 2" xfId="17009" xr:uid="{3A61789C-8548-4527-9EB7-221952C1D147}"/>
    <cellStyle name="Normal 4 6 2 7 2 3" xfId="12791" xr:uid="{68850B7C-9C16-4B4C-BAA7-39AFF308FEF7}"/>
    <cellStyle name="Normal 4 6 2 7 3" xfId="6422" xr:uid="{00000000-0005-0000-0000-00004F160000}"/>
    <cellStyle name="Normal 4 6 2 7 3 2" xfId="14864" xr:uid="{65C27BC5-076B-48A1-A01F-805A490335C2}"/>
    <cellStyle name="Normal 4 6 2 7 4" xfId="10646" xr:uid="{0059B3A1-AD61-45BA-81E2-80296C0C9AF9}"/>
    <cellStyle name="Normal 4 6 2 8" xfId="2551" xr:uid="{00000000-0005-0000-0000-000050160000}"/>
    <cellStyle name="Normal 4 6 2 8 2" xfId="6835" xr:uid="{00000000-0005-0000-0000-000051160000}"/>
    <cellStyle name="Normal 4 6 2 8 2 2" xfId="15277" xr:uid="{CF97332D-FCE9-486F-BA35-19B33B863DF1}"/>
    <cellStyle name="Normal 4 6 2 8 3" xfId="11059" xr:uid="{DF1EDDFF-DDB8-4038-A3E1-DA3E652A315F}"/>
    <cellStyle name="Normal 4 6 2 9" xfId="4770" xr:uid="{00000000-0005-0000-0000-000052160000}"/>
    <cellStyle name="Normal 4 6 2 9 2" xfId="13212" xr:uid="{FC52C4F8-1508-4134-83D2-77088EFEF147}"/>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2 2 2" xfId="15775" xr:uid="{2EBA7738-6061-406C-B022-52FBE8A0F5C4}"/>
    <cellStyle name="Normal 4 6 3 2 2 2 3" xfId="11557" xr:uid="{402EEA2C-095D-49D2-8401-386A8F0216E0}"/>
    <cellStyle name="Normal 4 6 3 2 2 3" xfId="5188" xr:uid="{00000000-0005-0000-0000-000058160000}"/>
    <cellStyle name="Normal 4 6 3 2 2 3 2" xfId="13630" xr:uid="{EB435F45-3E54-4BD1-BFFF-B57492416D10}"/>
    <cellStyle name="Normal 4 6 3 2 2 4" xfId="9412" xr:uid="{679FA5D1-A30D-4B8D-AF7E-3BCD0431C802}"/>
    <cellStyle name="Normal 4 6 3 2 3" xfId="1293" xr:uid="{00000000-0005-0000-0000-000059160000}"/>
    <cellStyle name="Normal 4 6 3 2 3 2" xfId="3523" xr:uid="{00000000-0005-0000-0000-00005A160000}"/>
    <cellStyle name="Normal 4 6 3 2 3 2 2" xfId="7746" xr:uid="{00000000-0005-0000-0000-00005B160000}"/>
    <cellStyle name="Normal 4 6 3 2 3 2 2 2" xfId="16188" xr:uid="{6C7C17E1-CB01-400B-A8C4-DB9072D83DEA}"/>
    <cellStyle name="Normal 4 6 3 2 3 2 3" xfId="11970" xr:uid="{24695FA3-4EC8-4CFA-AF5F-CD13FB29D651}"/>
    <cellStyle name="Normal 4 6 3 2 3 3" xfId="5601" xr:uid="{00000000-0005-0000-0000-00005C160000}"/>
    <cellStyle name="Normal 4 6 3 2 3 3 2" xfId="14043" xr:uid="{0772C79D-E3A0-4A88-A5BC-CAC056F8AB16}"/>
    <cellStyle name="Normal 4 6 3 2 3 4" xfId="9825" xr:uid="{7B589F95-DBAA-4847-BA3C-FB489ECA50B5}"/>
    <cellStyle name="Normal 4 6 3 2 4" xfId="1706" xr:uid="{00000000-0005-0000-0000-00005D160000}"/>
    <cellStyle name="Normal 4 6 3 2 4 2" xfId="3936" xr:uid="{00000000-0005-0000-0000-00005E160000}"/>
    <cellStyle name="Normal 4 6 3 2 4 2 2" xfId="8159" xr:uid="{00000000-0005-0000-0000-00005F160000}"/>
    <cellStyle name="Normal 4 6 3 2 4 2 2 2" xfId="16601" xr:uid="{688A2ADA-B5E4-49B5-B895-DE8AE830CFB9}"/>
    <cellStyle name="Normal 4 6 3 2 4 2 3" xfId="12383" xr:uid="{05B4A516-C20A-4E5F-BD1F-E419D5EC11D4}"/>
    <cellStyle name="Normal 4 6 3 2 4 3" xfId="6014" xr:uid="{00000000-0005-0000-0000-000060160000}"/>
    <cellStyle name="Normal 4 6 3 2 4 3 2" xfId="14456" xr:uid="{8CB20DBA-20FC-4ED2-B49F-81E79445EA85}"/>
    <cellStyle name="Normal 4 6 3 2 4 4" xfId="10238" xr:uid="{FE01B2D6-87D3-41A6-A0A6-4460F0B1DBD0}"/>
    <cellStyle name="Normal 4 6 3 2 5" xfId="2120" xr:uid="{00000000-0005-0000-0000-000061160000}"/>
    <cellStyle name="Normal 4 6 3 2 5 2" xfId="4349" xr:uid="{00000000-0005-0000-0000-000062160000}"/>
    <cellStyle name="Normal 4 6 3 2 5 2 2" xfId="8572" xr:uid="{00000000-0005-0000-0000-000063160000}"/>
    <cellStyle name="Normal 4 6 3 2 5 2 2 2" xfId="17014" xr:uid="{C5642A91-EAD0-4318-A6B0-D70D6D7ECC63}"/>
    <cellStyle name="Normal 4 6 3 2 5 2 3" xfId="12796" xr:uid="{AA6E3BE9-4B0B-4F7E-8073-ADB37294EF17}"/>
    <cellStyle name="Normal 4 6 3 2 5 3" xfId="6427" xr:uid="{00000000-0005-0000-0000-000064160000}"/>
    <cellStyle name="Normal 4 6 3 2 5 3 2" xfId="14869" xr:uid="{41E9E320-77C6-4165-AA47-69E23898330D}"/>
    <cellStyle name="Normal 4 6 3 2 5 4" xfId="10651" xr:uid="{B9AE6637-322E-4536-B4BB-E1DED3B86B17}"/>
    <cellStyle name="Normal 4 6 3 2 6" xfId="2556" xr:uid="{00000000-0005-0000-0000-000065160000}"/>
    <cellStyle name="Normal 4 6 3 2 6 2" xfId="6840" xr:uid="{00000000-0005-0000-0000-000066160000}"/>
    <cellStyle name="Normal 4 6 3 2 6 2 2" xfId="15282" xr:uid="{7150E8E5-8B57-4AE7-9312-2AE4DD40EF8B}"/>
    <cellStyle name="Normal 4 6 3 2 6 3" xfId="11064" xr:uid="{989C9D78-8EB5-4BFC-BFF2-40B925359664}"/>
    <cellStyle name="Normal 4 6 3 2 7" xfId="4775" xr:uid="{00000000-0005-0000-0000-000067160000}"/>
    <cellStyle name="Normal 4 6 3 2 7 2" xfId="13217" xr:uid="{38519FE7-0FC6-453E-A047-659D9FC021E6}"/>
    <cellStyle name="Normal 4 6 3 2 8" xfId="8999" xr:uid="{7CE3F834-0E8D-45F5-9F09-5BAC4CE3D3D5}"/>
    <cellStyle name="Normal 4 6 3 3" xfId="874" xr:uid="{00000000-0005-0000-0000-000068160000}"/>
    <cellStyle name="Normal 4 6 3 3 2" xfId="3109" xr:uid="{00000000-0005-0000-0000-000069160000}"/>
    <cellStyle name="Normal 4 6 3 3 2 2" xfId="7332" xr:uid="{00000000-0005-0000-0000-00006A160000}"/>
    <cellStyle name="Normal 4 6 3 3 2 2 2" xfId="15774" xr:uid="{C2E75877-7DDA-4EAA-8229-811EDDE3EC27}"/>
    <cellStyle name="Normal 4 6 3 3 2 3" xfId="11556" xr:uid="{D44229E8-18AD-4F51-A309-5C9C35A168E3}"/>
    <cellStyle name="Normal 4 6 3 3 3" xfId="5187" xr:uid="{00000000-0005-0000-0000-00006B160000}"/>
    <cellStyle name="Normal 4 6 3 3 3 2" xfId="13629" xr:uid="{4F37794B-4C3B-4750-8EED-D6EA1BDDE266}"/>
    <cellStyle name="Normal 4 6 3 3 4" xfId="9411" xr:uid="{FA2E4BDD-FF38-4077-A31B-4B54B0B3C46B}"/>
    <cellStyle name="Normal 4 6 3 4" xfId="1292" xr:uid="{00000000-0005-0000-0000-00006C160000}"/>
    <cellStyle name="Normal 4 6 3 4 2" xfId="3522" xr:uid="{00000000-0005-0000-0000-00006D160000}"/>
    <cellStyle name="Normal 4 6 3 4 2 2" xfId="7745" xr:uid="{00000000-0005-0000-0000-00006E160000}"/>
    <cellStyle name="Normal 4 6 3 4 2 2 2" xfId="16187" xr:uid="{2FE88D07-CC86-4D7B-92CB-189DC23BC4BC}"/>
    <cellStyle name="Normal 4 6 3 4 2 3" xfId="11969" xr:uid="{E9C547F1-5792-44B9-84A5-F77044867B56}"/>
    <cellStyle name="Normal 4 6 3 4 3" xfId="5600" xr:uid="{00000000-0005-0000-0000-00006F160000}"/>
    <cellStyle name="Normal 4 6 3 4 3 2" xfId="14042" xr:uid="{A8D9DFB8-A355-4F9D-B90D-F381C419982B}"/>
    <cellStyle name="Normal 4 6 3 4 4" xfId="9824" xr:uid="{2AA15C2E-2E4A-4EC5-B8C0-ECF5B0EFFD88}"/>
    <cellStyle name="Normal 4 6 3 5" xfId="1705" xr:uid="{00000000-0005-0000-0000-000070160000}"/>
    <cellStyle name="Normal 4 6 3 5 2" xfId="3935" xr:uid="{00000000-0005-0000-0000-000071160000}"/>
    <cellStyle name="Normal 4 6 3 5 2 2" xfId="8158" xr:uid="{00000000-0005-0000-0000-000072160000}"/>
    <cellStyle name="Normal 4 6 3 5 2 2 2" xfId="16600" xr:uid="{4136EED3-94C3-4825-B6C6-A53DB00060BB}"/>
    <cellStyle name="Normal 4 6 3 5 2 3" xfId="12382" xr:uid="{D02777AB-412B-4585-8DAE-45E6D7E51599}"/>
    <cellStyle name="Normal 4 6 3 5 3" xfId="6013" xr:uid="{00000000-0005-0000-0000-000073160000}"/>
    <cellStyle name="Normal 4 6 3 5 3 2" xfId="14455" xr:uid="{25D839F4-B615-40D3-9E0D-33D806103474}"/>
    <cellStyle name="Normal 4 6 3 5 4" xfId="10237" xr:uid="{B57063CE-39C6-461C-A304-D7A950B4A026}"/>
    <cellStyle name="Normal 4 6 3 6" xfId="2119" xr:uid="{00000000-0005-0000-0000-000074160000}"/>
    <cellStyle name="Normal 4 6 3 6 2" xfId="4348" xr:uid="{00000000-0005-0000-0000-000075160000}"/>
    <cellStyle name="Normal 4 6 3 6 2 2" xfId="8571" xr:uid="{00000000-0005-0000-0000-000076160000}"/>
    <cellStyle name="Normal 4 6 3 6 2 2 2" xfId="17013" xr:uid="{CD7E7986-ABBF-4F47-82A0-17C677CE8B7D}"/>
    <cellStyle name="Normal 4 6 3 6 2 3" xfId="12795" xr:uid="{2045D3E6-B204-4B8C-9252-3EDA62645EC3}"/>
    <cellStyle name="Normal 4 6 3 6 3" xfId="6426" xr:uid="{00000000-0005-0000-0000-000077160000}"/>
    <cellStyle name="Normal 4 6 3 6 3 2" xfId="14868" xr:uid="{83AB6763-C3DB-4033-B848-20155D297C30}"/>
    <cellStyle name="Normal 4 6 3 6 4" xfId="10650" xr:uid="{4A91D2A2-C477-4993-A120-C5AE11906B67}"/>
    <cellStyle name="Normal 4 6 3 7" xfId="2555" xr:uid="{00000000-0005-0000-0000-000078160000}"/>
    <cellStyle name="Normal 4 6 3 7 2" xfId="6839" xr:uid="{00000000-0005-0000-0000-000079160000}"/>
    <cellStyle name="Normal 4 6 3 7 2 2" xfId="15281" xr:uid="{095BF046-99DD-4EF5-85F5-0793555C05E1}"/>
    <cellStyle name="Normal 4 6 3 7 3" xfId="11063" xr:uid="{785FB1C7-A4E4-41AB-82E9-C2C76C7321F1}"/>
    <cellStyle name="Normal 4 6 3 8" xfId="4774" xr:uid="{00000000-0005-0000-0000-00007A160000}"/>
    <cellStyle name="Normal 4 6 3 8 2" xfId="13216" xr:uid="{03EDBB47-D6DC-4A32-A292-E0190125F841}"/>
    <cellStyle name="Normal 4 6 3 9" xfId="8998" xr:uid="{79FC4B1D-2871-43CF-8971-E2CD054C59F8}"/>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2 2 2" xfId="15776" xr:uid="{3A6A81D9-D73F-4E0D-AAB5-330148BD3AB6}"/>
    <cellStyle name="Normal 4 6 4 2 2 3" xfId="11558" xr:uid="{9838CDE9-ED90-4FB3-9EB2-246AB9AD1945}"/>
    <cellStyle name="Normal 4 6 4 2 3" xfId="5189" xr:uid="{00000000-0005-0000-0000-00007F160000}"/>
    <cellStyle name="Normal 4 6 4 2 3 2" xfId="13631" xr:uid="{E4AB974D-6D3D-445F-9AF1-25BC495502E7}"/>
    <cellStyle name="Normal 4 6 4 2 4" xfId="9413" xr:uid="{ED000552-32EA-4458-B75E-5164591D9F3B}"/>
    <cellStyle name="Normal 4 6 4 3" xfId="1294" xr:uid="{00000000-0005-0000-0000-000080160000}"/>
    <cellStyle name="Normal 4 6 4 3 2" xfId="3524" xr:uid="{00000000-0005-0000-0000-000081160000}"/>
    <cellStyle name="Normal 4 6 4 3 2 2" xfId="7747" xr:uid="{00000000-0005-0000-0000-000082160000}"/>
    <cellStyle name="Normal 4 6 4 3 2 2 2" xfId="16189" xr:uid="{0BEE12EC-D896-4044-BF1A-5402D7896D1C}"/>
    <cellStyle name="Normal 4 6 4 3 2 3" xfId="11971" xr:uid="{8FECFDC9-B7FA-477B-810B-E1510EDBD258}"/>
    <cellStyle name="Normal 4 6 4 3 3" xfId="5602" xr:uid="{00000000-0005-0000-0000-000083160000}"/>
    <cellStyle name="Normal 4 6 4 3 3 2" xfId="14044" xr:uid="{31E5C69C-FBA0-4C1F-A2DB-A2F68F01DED6}"/>
    <cellStyle name="Normal 4 6 4 3 4" xfId="9826" xr:uid="{E85305BB-6E96-4C0C-AB22-59BF7E38B60D}"/>
    <cellStyle name="Normal 4 6 4 4" xfId="1707" xr:uid="{00000000-0005-0000-0000-000084160000}"/>
    <cellStyle name="Normal 4 6 4 4 2" xfId="3937" xr:uid="{00000000-0005-0000-0000-000085160000}"/>
    <cellStyle name="Normal 4 6 4 4 2 2" xfId="8160" xr:uid="{00000000-0005-0000-0000-000086160000}"/>
    <cellStyle name="Normal 4 6 4 4 2 2 2" xfId="16602" xr:uid="{C1A537B2-97DA-41EC-9147-C5B0DB1AC283}"/>
    <cellStyle name="Normal 4 6 4 4 2 3" xfId="12384" xr:uid="{90094BD0-B8CA-41F5-A179-85A22CF20368}"/>
    <cellStyle name="Normal 4 6 4 4 3" xfId="6015" xr:uid="{00000000-0005-0000-0000-000087160000}"/>
    <cellStyle name="Normal 4 6 4 4 3 2" xfId="14457" xr:uid="{372B9EDB-216B-4253-BB4B-50C5B1E9737D}"/>
    <cellStyle name="Normal 4 6 4 4 4" xfId="10239" xr:uid="{1561CF57-AB19-41FB-865A-3BAE077BC02A}"/>
    <cellStyle name="Normal 4 6 4 5" xfId="2121" xr:uid="{00000000-0005-0000-0000-000088160000}"/>
    <cellStyle name="Normal 4 6 4 5 2" xfId="4350" xr:uid="{00000000-0005-0000-0000-000089160000}"/>
    <cellStyle name="Normal 4 6 4 5 2 2" xfId="8573" xr:uid="{00000000-0005-0000-0000-00008A160000}"/>
    <cellStyle name="Normal 4 6 4 5 2 2 2" xfId="17015" xr:uid="{368A1B2F-6ABC-436D-8901-C697EE8546A6}"/>
    <cellStyle name="Normal 4 6 4 5 2 3" xfId="12797" xr:uid="{70DF4B5A-FDA3-449A-B202-8161869B6AC6}"/>
    <cellStyle name="Normal 4 6 4 5 3" xfId="6428" xr:uid="{00000000-0005-0000-0000-00008B160000}"/>
    <cellStyle name="Normal 4 6 4 5 3 2" xfId="14870" xr:uid="{4F8EA8ED-4031-42E0-ABFF-685DA4D90650}"/>
    <cellStyle name="Normal 4 6 4 5 4" xfId="10652" xr:uid="{7E8420AC-84C7-4A81-ACF1-3B7308FE1538}"/>
    <cellStyle name="Normal 4 6 4 6" xfId="2557" xr:uid="{00000000-0005-0000-0000-00008C160000}"/>
    <cellStyle name="Normal 4 6 4 6 2" xfId="6841" xr:uid="{00000000-0005-0000-0000-00008D160000}"/>
    <cellStyle name="Normal 4 6 4 6 2 2" xfId="15283" xr:uid="{75D1378F-972B-4481-BE59-E7E2450CCB58}"/>
    <cellStyle name="Normal 4 6 4 6 3" xfId="11065" xr:uid="{ABD4D30F-93F0-4AD8-8CB6-1FA337EBC77D}"/>
    <cellStyle name="Normal 4 6 4 7" xfId="4776" xr:uid="{00000000-0005-0000-0000-00008E160000}"/>
    <cellStyle name="Normal 4 6 4 7 2" xfId="13218" xr:uid="{FE071CBE-EF54-468C-B697-F92B54B9DB65}"/>
    <cellStyle name="Normal 4 6 4 8" xfId="9000" xr:uid="{BCA8BB4D-467C-452E-B119-B33B3290C20B}"/>
    <cellStyle name="Normal 4 6 5" xfId="869" xr:uid="{00000000-0005-0000-0000-00008F160000}"/>
    <cellStyle name="Normal 4 6 5 2" xfId="3104" xr:uid="{00000000-0005-0000-0000-000090160000}"/>
    <cellStyle name="Normal 4 6 5 2 2" xfId="7327" xr:uid="{00000000-0005-0000-0000-000091160000}"/>
    <cellStyle name="Normal 4 6 5 2 2 2" xfId="15769" xr:uid="{B5807C22-2BBA-4469-AD82-32988FE5F25B}"/>
    <cellStyle name="Normal 4 6 5 2 3" xfId="11551" xr:uid="{39C51B1B-53E4-477C-ABA1-96852ED7A7A9}"/>
    <cellStyle name="Normal 4 6 5 3" xfId="5182" xr:uid="{00000000-0005-0000-0000-000092160000}"/>
    <cellStyle name="Normal 4 6 5 3 2" xfId="13624" xr:uid="{0F9B2016-F5E5-4D8C-8B3C-D04DF20E8F64}"/>
    <cellStyle name="Normal 4 6 5 4" xfId="9406" xr:uid="{C641098A-36FB-4132-B367-F144301A1373}"/>
    <cellStyle name="Normal 4 6 6" xfId="1287" xr:uid="{00000000-0005-0000-0000-000093160000}"/>
    <cellStyle name="Normal 4 6 6 2" xfId="3517" xr:uid="{00000000-0005-0000-0000-000094160000}"/>
    <cellStyle name="Normal 4 6 6 2 2" xfId="7740" xr:uid="{00000000-0005-0000-0000-000095160000}"/>
    <cellStyle name="Normal 4 6 6 2 2 2" xfId="16182" xr:uid="{4A9495F8-11F4-4600-ABA0-4F98435A7CAC}"/>
    <cellStyle name="Normal 4 6 6 2 3" xfId="11964" xr:uid="{BC798BCB-467D-479F-97CC-544DCA70C47E}"/>
    <cellStyle name="Normal 4 6 6 3" xfId="5595" xr:uid="{00000000-0005-0000-0000-000096160000}"/>
    <cellStyle name="Normal 4 6 6 3 2" xfId="14037" xr:uid="{F939A417-A720-4ACB-BEB2-D6FE68E34F52}"/>
    <cellStyle name="Normal 4 6 6 4" xfId="9819" xr:uid="{5E47B60E-40F3-4317-A1F2-A6DFA553B187}"/>
    <cellStyle name="Normal 4 6 7" xfId="1700" xr:uid="{00000000-0005-0000-0000-000097160000}"/>
    <cellStyle name="Normal 4 6 7 2" xfId="3930" xr:uid="{00000000-0005-0000-0000-000098160000}"/>
    <cellStyle name="Normal 4 6 7 2 2" xfId="8153" xr:uid="{00000000-0005-0000-0000-000099160000}"/>
    <cellStyle name="Normal 4 6 7 2 2 2" xfId="16595" xr:uid="{8349640C-828C-4B56-A4E5-F59FD6ACAE43}"/>
    <cellStyle name="Normal 4 6 7 2 3" xfId="12377" xr:uid="{E90A64AB-168E-4CDE-BDED-E1F1870A788A}"/>
    <cellStyle name="Normal 4 6 7 3" xfId="6008" xr:uid="{00000000-0005-0000-0000-00009A160000}"/>
    <cellStyle name="Normal 4 6 7 3 2" xfId="14450" xr:uid="{7C50394F-9314-4B61-BB0E-C4D773B7C91E}"/>
    <cellStyle name="Normal 4 6 7 4" xfId="10232" xr:uid="{B4BF1731-4CD6-426E-98CA-3F2774E13D51}"/>
    <cellStyle name="Normal 4 6 8" xfId="2114" xr:uid="{00000000-0005-0000-0000-00009B160000}"/>
    <cellStyle name="Normal 4 6 8 2" xfId="4343" xr:uid="{00000000-0005-0000-0000-00009C160000}"/>
    <cellStyle name="Normal 4 6 8 2 2" xfId="8566" xr:uid="{00000000-0005-0000-0000-00009D160000}"/>
    <cellStyle name="Normal 4 6 8 2 2 2" xfId="17008" xr:uid="{661E82E9-2A76-448E-8731-897B1BFE3DDE}"/>
    <cellStyle name="Normal 4 6 8 2 3" xfId="12790" xr:uid="{C0088C49-F3B7-4547-8943-2F56BBCC321B}"/>
    <cellStyle name="Normal 4 6 8 3" xfId="6421" xr:uid="{00000000-0005-0000-0000-00009E160000}"/>
    <cellStyle name="Normal 4 6 8 3 2" xfId="14863" xr:uid="{D397397C-5E42-4ACC-9ECA-4720338F1C54}"/>
    <cellStyle name="Normal 4 6 8 4" xfId="10645" xr:uid="{B1DB60A8-0DCC-46DF-A026-65C8E365BD55}"/>
    <cellStyle name="Normal 4 6 9" xfId="2550" xr:uid="{00000000-0005-0000-0000-00009F160000}"/>
    <cellStyle name="Normal 4 6 9 2" xfId="6834" xr:uid="{00000000-0005-0000-0000-0000A0160000}"/>
    <cellStyle name="Normal 4 6 9 2 2" xfId="15276" xr:uid="{33A95051-696F-425E-B19D-4B36E58035E0}"/>
    <cellStyle name="Normal 4 6 9 3" xfId="11058" xr:uid="{4B9BAFFE-402B-4BEE-8C85-85EB2AEDAE8E}"/>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2 2 2" xfId="15778" xr:uid="{22A9DD89-51A7-4EF3-9F27-C8B82671EFFE}"/>
    <cellStyle name="Normal 4 7 2 2 2 3" xfId="11560" xr:uid="{B0F473C5-E21D-4159-B319-B342663BD9AD}"/>
    <cellStyle name="Normal 4 7 2 2 3" xfId="5191" xr:uid="{00000000-0005-0000-0000-0000A6160000}"/>
    <cellStyle name="Normal 4 7 2 2 3 2" xfId="13633" xr:uid="{F5B65A7B-5F87-4A61-AF05-D6D60440823E}"/>
    <cellStyle name="Normal 4 7 2 2 4" xfId="9415" xr:uid="{45C56538-4CAE-445C-998B-C74ECEA95C43}"/>
    <cellStyle name="Normal 4 7 2 3" xfId="1296" xr:uid="{00000000-0005-0000-0000-0000A7160000}"/>
    <cellStyle name="Normal 4 7 2 3 2" xfId="3526" xr:uid="{00000000-0005-0000-0000-0000A8160000}"/>
    <cellStyle name="Normal 4 7 2 3 2 2" xfId="7749" xr:uid="{00000000-0005-0000-0000-0000A9160000}"/>
    <cellStyle name="Normal 4 7 2 3 2 2 2" xfId="16191" xr:uid="{03607925-2A89-41DD-B7F2-97329057F6B6}"/>
    <cellStyle name="Normal 4 7 2 3 2 3" xfId="11973" xr:uid="{E9D85BCF-8DAC-45F0-84A9-EB698234866C}"/>
    <cellStyle name="Normal 4 7 2 3 3" xfId="5604" xr:uid="{00000000-0005-0000-0000-0000AA160000}"/>
    <cellStyle name="Normal 4 7 2 3 3 2" xfId="14046" xr:uid="{C7642108-98B1-49A7-9DD8-341E3469F342}"/>
    <cellStyle name="Normal 4 7 2 3 4" xfId="9828" xr:uid="{7202FC33-DF05-4C0C-B290-CA29624C0D28}"/>
    <cellStyle name="Normal 4 7 2 4" xfId="1709" xr:uid="{00000000-0005-0000-0000-0000AB160000}"/>
    <cellStyle name="Normal 4 7 2 4 2" xfId="3939" xr:uid="{00000000-0005-0000-0000-0000AC160000}"/>
    <cellStyle name="Normal 4 7 2 4 2 2" xfId="8162" xr:uid="{00000000-0005-0000-0000-0000AD160000}"/>
    <cellStyle name="Normal 4 7 2 4 2 2 2" xfId="16604" xr:uid="{90F1B0B2-CD6D-44B5-83DE-DE202BEC8F4D}"/>
    <cellStyle name="Normal 4 7 2 4 2 3" xfId="12386" xr:uid="{F795316D-2089-4DED-8638-100FF4FBBCC7}"/>
    <cellStyle name="Normal 4 7 2 4 3" xfId="6017" xr:uid="{00000000-0005-0000-0000-0000AE160000}"/>
    <cellStyle name="Normal 4 7 2 4 3 2" xfId="14459" xr:uid="{3E673406-D429-4FB9-AB7B-3907101B95DB}"/>
    <cellStyle name="Normal 4 7 2 4 4" xfId="10241" xr:uid="{6250002D-143B-46A3-B376-C0003F257FAB}"/>
    <cellStyle name="Normal 4 7 2 5" xfId="2123" xr:uid="{00000000-0005-0000-0000-0000AF160000}"/>
    <cellStyle name="Normal 4 7 2 5 2" xfId="4352" xr:uid="{00000000-0005-0000-0000-0000B0160000}"/>
    <cellStyle name="Normal 4 7 2 5 2 2" xfId="8575" xr:uid="{00000000-0005-0000-0000-0000B1160000}"/>
    <cellStyle name="Normal 4 7 2 5 2 2 2" xfId="17017" xr:uid="{BE8AAD86-B1B1-43AA-83F2-7388207B256A}"/>
    <cellStyle name="Normal 4 7 2 5 2 3" xfId="12799" xr:uid="{D5E80578-8073-44B1-B20A-5EF6A33159DA}"/>
    <cellStyle name="Normal 4 7 2 5 3" xfId="6430" xr:uid="{00000000-0005-0000-0000-0000B2160000}"/>
    <cellStyle name="Normal 4 7 2 5 3 2" xfId="14872" xr:uid="{1F8F192F-76CE-407A-9F23-24355B3EC5B2}"/>
    <cellStyle name="Normal 4 7 2 5 4" xfId="10654" xr:uid="{A4EE937F-A829-4A30-9113-32DE18B7749D}"/>
    <cellStyle name="Normal 4 7 2 6" xfId="2559" xr:uid="{00000000-0005-0000-0000-0000B3160000}"/>
    <cellStyle name="Normal 4 7 2 6 2" xfId="6843" xr:uid="{00000000-0005-0000-0000-0000B4160000}"/>
    <cellStyle name="Normal 4 7 2 6 2 2" xfId="15285" xr:uid="{C4D446BF-2397-490B-9F46-8E99E54F57C7}"/>
    <cellStyle name="Normal 4 7 2 6 3" xfId="11067" xr:uid="{DF0581CD-4BF8-4CA9-AB17-CCEFEE55376A}"/>
    <cellStyle name="Normal 4 7 2 7" xfId="4778" xr:uid="{00000000-0005-0000-0000-0000B5160000}"/>
    <cellStyle name="Normal 4 7 2 7 2" xfId="13220" xr:uid="{72550EDD-BD4B-47EC-863F-6CD7EF9C5F1C}"/>
    <cellStyle name="Normal 4 7 2 8" xfId="9002" xr:uid="{0A15DD31-724F-4F00-896A-DB8984F04CDA}"/>
    <cellStyle name="Normal 4 7 3" xfId="877" xr:uid="{00000000-0005-0000-0000-0000B6160000}"/>
    <cellStyle name="Normal 4 7 3 2" xfId="3112" xr:uid="{00000000-0005-0000-0000-0000B7160000}"/>
    <cellStyle name="Normal 4 7 3 2 2" xfId="7335" xr:uid="{00000000-0005-0000-0000-0000B8160000}"/>
    <cellStyle name="Normal 4 7 3 2 2 2" xfId="15777" xr:uid="{AC40108D-928E-4B9A-B034-730AC5F70D30}"/>
    <cellStyle name="Normal 4 7 3 2 3" xfId="11559" xr:uid="{726E1E03-3997-4ECC-97FD-B72A17DD6813}"/>
    <cellStyle name="Normal 4 7 3 3" xfId="5190" xr:uid="{00000000-0005-0000-0000-0000B9160000}"/>
    <cellStyle name="Normal 4 7 3 3 2" xfId="13632" xr:uid="{BEBDE3E4-FB7F-4B82-9352-150C5D59C499}"/>
    <cellStyle name="Normal 4 7 3 4" xfId="9414" xr:uid="{3285D3F2-2C8C-4F7B-B010-91572192408C}"/>
    <cellStyle name="Normal 4 7 4" xfId="1295" xr:uid="{00000000-0005-0000-0000-0000BA160000}"/>
    <cellStyle name="Normal 4 7 4 2" xfId="3525" xr:uid="{00000000-0005-0000-0000-0000BB160000}"/>
    <cellStyle name="Normal 4 7 4 2 2" xfId="7748" xr:uid="{00000000-0005-0000-0000-0000BC160000}"/>
    <cellStyle name="Normal 4 7 4 2 2 2" xfId="16190" xr:uid="{B5EB5EF7-D2F6-4E42-BAAE-A43C7ADACC23}"/>
    <cellStyle name="Normal 4 7 4 2 3" xfId="11972" xr:uid="{CBDB391B-2053-4BBE-A0F5-E446783D2083}"/>
    <cellStyle name="Normal 4 7 4 3" xfId="5603" xr:uid="{00000000-0005-0000-0000-0000BD160000}"/>
    <cellStyle name="Normal 4 7 4 3 2" xfId="14045" xr:uid="{1A10582D-993F-4F52-9DB3-C4C363214128}"/>
    <cellStyle name="Normal 4 7 4 4" xfId="9827" xr:uid="{245440EE-0147-4A9E-BA8F-6A7D3A401812}"/>
    <cellStyle name="Normal 4 7 5" xfId="1708" xr:uid="{00000000-0005-0000-0000-0000BE160000}"/>
    <cellStyle name="Normal 4 7 5 2" xfId="3938" xr:uid="{00000000-0005-0000-0000-0000BF160000}"/>
    <cellStyle name="Normal 4 7 5 2 2" xfId="8161" xr:uid="{00000000-0005-0000-0000-0000C0160000}"/>
    <cellStyle name="Normal 4 7 5 2 2 2" xfId="16603" xr:uid="{6F4D3619-A531-4AEE-A708-AA876B83FFD7}"/>
    <cellStyle name="Normal 4 7 5 2 3" xfId="12385" xr:uid="{4EA07ADE-8B36-49C7-A95A-D5AB8542B99F}"/>
    <cellStyle name="Normal 4 7 5 3" xfId="6016" xr:uid="{00000000-0005-0000-0000-0000C1160000}"/>
    <cellStyle name="Normal 4 7 5 3 2" xfId="14458" xr:uid="{93EE4ACF-F85D-4756-987E-2C3B3034E13C}"/>
    <cellStyle name="Normal 4 7 5 4" xfId="10240" xr:uid="{0990D3A3-0ECE-4B06-818E-E6AC448EFFCA}"/>
    <cellStyle name="Normal 4 7 6" xfId="2122" xr:uid="{00000000-0005-0000-0000-0000C2160000}"/>
    <cellStyle name="Normal 4 7 6 2" xfId="4351" xr:uid="{00000000-0005-0000-0000-0000C3160000}"/>
    <cellStyle name="Normal 4 7 6 2 2" xfId="8574" xr:uid="{00000000-0005-0000-0000-0000C4160000}"/>
    <cellStyle name="Normal 4 7 6 2 2 2" xfId="17016" xr:uid="{27B8E390-A599-4C29-867D-08AEF15F0678}"/>
    <cellStyle name="Normal 4 7 6 2 3" xfId="12798" xr:uid="{71BD14CB-CD53-415C-A4AB-A76A59D5EF40}"/>
    <cellStyle name="Normal 4 7 6 3" xfId="6429" xr:uid="{00000000-0005-0000-0000-0000C5160000}"/>
    <cellStyle name="Normal 4 7 6 3 2" xfId="14871" xr:uid="{3A1A5B17-FC0B-4B1E-8D48-4687F2B27010}"/>
    <cellStyle name="Normal 4 7 6 4" xfId="10653" xr:uid="{18A18B2B-A663-4ED0-B0D4-C03E5D17F421}"/>
    <cellStyle name="Normal 4 7 7" xfId="2558" xr:uid="{00000000-0005-0000-0000-0000C6160000}"/>
    <cellStyle name="Normal 4 7 7 2" xfId="6842" xr:uid="{00000000-0005-0000-0000-0000C7160000}"/>
    <cellStyle name="Normal 4 7 7 2 2" xfId="15284" xr:uid="{250A09CB-DA3B-4B1C-8FAA-F8D90AA44F56}"/>
    <cellStyle name="Normal 4 7 7 3" xfId="11066" xr:uid="{E0ABD22C-3E20-437D-A7C7-F6BEB7858A94}"/>
    <cellStyle name="Normal 4 7 8" xfId="4777" xr:uid="{00000000-0005-0000-0000-0000C8160000}"/>
    <cellStyle name="Normal 4 7 8 2" xfId="13219" xr:uid="{97FD4C95-F07C-435D-B5A9-B9AA9F7864C0}"/>
    <cellStyle name="Normal 4 7 9" xfId="9001" xr:uid="{E76A1045-F3D8-4285-A4AE-3E104CBB857D}"/>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2 2 2" xfId="15779" xr:uid="{86F0836A-DB3F-4613-9132-2211FF09E003}"/>
    <cellStyle name="Normal 4 8 2 2 3" xfId="11561" xr:uid="{8C9339CE-B4E0-497A-8351-221D03D3500D}"/>
    <cellStyle name="Normal 4 8 2 3" xfId="5192" xr:uid="{00000000-0005-0000-0000-0000CD160000}"/>
    <cellStyle name="Normal 4 8 2 3 2" xfId="13634" xr:uid="{50EE1614-E603-4531-9959-06C267BC3551}"/>
    <cellStyle name="Normal 4 8 2 4" xfId="9416" xr:uid="{ECE8BB16-3C0B-47BF-931F-DDF6ED7CBD4C}"/>
    <cellStyle name="Normal 4 8 3" xfId="1297" xr:uid="{00000000-0005-0000-0000-0000CE160000}"/>
    <cellStyle name="Normal 4 8 3 2" xfId="3527" xr:uid="{00000000-0005-0000-0000-0000CF160000}"/>
    <cellStyle name="Normal 4 8 3 2 2" xfId="7750" xr:uid="{00000000-0005-0000-0000-0000D0160000}"/>
    <cellStyle name="Normal 4 8 3 2 2 2" xfId="16192" xr:uid="{8D16AFC9-B231-4808-AFE1-CC873FCB766D}"/>
    <cellStyle name="Normal 4 8 3 2 3" xfId="11974" xr:uid="{7C870F6B-992B-4B16-8DAB-6C26D14EB6F7}"/>
    <cellStyle name="Normal 4 8 3 3" xfId="5605" xr:uid="{00000000-0005-0000-0000-0000D1160000}"/>
    <cellStyle name="Normal 4 8 3 3 2" xfId="14047" xr:uid="{0B518C79-5909-43DB-A5D3-64A411768CA7}"/>
    <cellStyle name="Normal 4 8 3 4" xfId="9829" xr:uid="{5C5BE9E6-6D3E-491C-8AE3-98E3D1E79DD5}"/>
    <cellStyle name="Normal 4 8 4" xfId="1710" xr:uid="{00000000-0005-0000-0000-0000D2160000}"/>
    <cellStyle name="Normal 4 8 4 2" xfId="3940" xr:uid="{00000000-0005-0000-0000-0000D3160000}"/>
    <cellStyle name="Normal 4 8 4 2 2" xfId="8163" xr:uid="{00000000-0005-0000-0000-0000D4160000}"/>
    <cellStyle name="Normal 4 8 4 2 2 2" xfId="16605" xr:uid="{046AB917-7567-49BA-AF14-A6AA09603D27}"/>
    <cellStyle name="Normal 4 8 4 2 3" xfId="12387" xr:uid="{C5B53CB5-706B-4BAD-B45D-99F91D9A15BF}"/>
    <cellStyle name="Normal 4 8 4 3" xfId="6018" xr:uid="{00000000-0005-0000-0000-0000D5160000}"/>
    <cellStyle name="Normal 4 8 4 3 2" xfId="14460" xr:uid="{68879A27-396E-40F4-8693-65318685B8C5}"/>
    <cellStyle name="Normal 4 8 4 4" xfId="10242" xr:uid="{454B4DFE-E9A7-49F1-8384-BBD42AA2ECEC}"/>
    <cellStyle name="Normal 4 8 5" xfId="2124" xr:uid="{00000000-0005-0000-0000-0000D6160000}"/>
    <cellStyle name="Normal 4 8 5 2" xfId="4353" xr:uid="{00000000-0005-0000-0000-0000D7160000}"/>
    <cellStyle name="Normal 4 8 5 2 2" xfId="8576" xr:uid="{00000000-0005-0000-0000-0000D8160000}"/>
    <cellStyle name="Normal 4 8 5 2 2 2" xfId="17018" xr:uid="{B16B8DC2-E78A-4DB0-BBAC-764874D81A90}"/>
    <cellStyle name="Normal 4 8 5 2 3" xfId="12800" xr:uid="{9A388619-83C4-4D13-BC46-0CFC967BD74B}"/>
    <cellStyle name="Normal 4 8 5 3" xfId="6431" xr:uid="{00000000-0005-0000-0000-0000D9160000}"/>
    <cellStyle name="Normal 4 8 5 3 2" xfId="14873" xr:uid="{882B3A47-8B9A-4E6E-BEB7-7D999C6A0DE8}"/>
    <cellStyle name="Normal 4 8 5 4" xfId="10655" xr:uid="{1F062713-E550-46F3-802E-DBF3EBFC82EA}"/>
    <cellStyle name="Normal 4 8 6" xfId="2560" xr:uid="{00000000-0005-0000-0000-0000DA160000}"/>
    <cellStyle name="Normal 4 8 6 2" xfId="6844" xr:uid="{00000000-0005-0000-0000-0000DB160000}"/>
    <cellStyle name="Normal 4 8 6 2 2" xfId="15286" xr:uid="{D511D8B7-C49D-45F7-92A3-D13271242CC7}"/>
    <cellStyle name="Normal 4 8 6 3" xfId="11068" xr:uid="{273407B2-35FE-4E06-B194-D45C064C17D8}"/>
    <cellStyle name="Normal 4 8 7" xfId="4779" xr:uid="{00000000-0005-0000-0000-0000DC160000}"/>
    <cellStyle name="Normal 4 8 7 2" xfId="13221" xr:uid="{CF7E9511-B5F9-4947-B3EA-2597C7B337AC}"/>
    <cellStyle name="Normal 4 8 8" xfId="9003" xr:uid="{6E9AB873-B4B0-415A-9695-5DAF7961B71B}"/>
    <cellStyle name="Normal 4 9" xfId="4716" xr:uid="{00000000-0005-0000-0000-0000DD160000}"/>
    <cellStyle name="Normal 4 9 2" xfId="13158" xr:uid="{C3A03A7C-D8CA-442B-9ABA-FE420302F126}"/>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2 2 2" xfId="16606" xr:uid="{C5982E6F-046E-4A57-87EF-F194FA7BB002}"/>
    <cellStyle name="Normal 5 10 2 3" xfId="12388" xr:uid="{050855E2-F58A-4D1B-B8DC-6A4232DEE113}"/>
    <cellStyle name="Normal 5 10 3" xfId="6019" xr:uid="{00000000-0005-0000-0000-0000E2160000}"/>
    <cellStyle name="Normal 5 10 3 2" xfId="14461" xr:uid="{398E2A1E-65E1-4365-93F2-74BDC4FDD3BF}"/>
    <cellStyle name="Normal 5 10 4" xfId="10243" xr:uid="{59818AB8-F9EC-45AA-A905-8AF836E927AF}"/>
    <cellStyle name="Normal 5 11" xfId="2125" xr:uid="{00000000-0005-0000-0000-0000E3160000}"/>
    <cellStyle name="Normal 5 11 2" xfId="4354" xr:uid="{00000000-0005-0000-0000-0000E4160000}"/>
    <cellStyle name="Normal 5 11 2 2" xfId="8577" xr:uid="{00000000-0005-0000-0000-0000E5160000}"/>
    <cellStyle name="Normal 5 11 2 2 2" xfId="17019" xr:uid="{07A542D5-6BB7-4895-8FF2-4794E59BCFC5}"/>
    <cellStyle name="Normal 5 11 2 3" xfId="12801" xr:uid="{1175851E-4840-4CD7-94F7-2C58AA67EBF7}"/>
    <cellStyle name="Normal 5 11 3" xfId="6432" xr:uid="{00000000-0005-0000-0000-0000E6160000}"/>
    <cellStyle name="Normal 5 11 3 2" xfId="14874" xr:uid="{C2DB48FF-CE60-41A9-A666-3153D359AACC}"/>
    <cellStyle name="Normal 5 11 4" xfId="10656" xr:uid="{DBBFA904-8647-45AA-B41E-239FFC6819D0}"/>
    <cellStyle name="Normal 5 12" xfId="2561" xr:uid="{00000000-0005-0000-0000-0000E7160000}"/>
    <cellStyle name="Normal 5 12 2" xfId="6845" xr:uid="{00000000-0005-0000-0000-0000E8160000}"/>
    <cellStyle name="Normal 5 12 2 2" xfId="15287" xr:uid="{6EF7E1AC-4B3D-4B06-AEE3-13A9E781642E}"/>
    <cellStyle name="Normal 5 12 3" xfId="11069" xr:uid="{8C07DEEB-216F-426C-894C-A9750EDAF9C3}"/>
    <cellStyle name="Normal 5 13" xfId="4780" xr:uid="{00000000-0005-0000-0000-0000E9160000}"/>
    <cellStyle name="Normal 5 13 2" xfId="13222" xr:uid="{A7A50975-E4A3-433C-B4C5-8482548AFE68}"/>
    <cellStyle name="Normal 5 14" xfId="9004" xr:uid="{9400508E-ACC4-42E1-B186-D3550F5E79DB}"/>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2 2 2" xfId="17020" xr:uid="{97CF7711-25F9-4AAD-A984-47E16ACC5D2F}"/>
    <cellStyle name="Normal 5 2 10 2 3" xfId="12802" xr:uid="{34D83F96-6FCC-42D6-BE20-4713AC6141C6}"/>
    <cellStyle name="Normal 5 2 10 3" xfId="6433" xr:uid="{00000000-0005-0000-0000-0000EE160000}"/>
    <cellStyle name="Normal 5 2 10 3 2" xfId="14875" xr:uid="{2FFEDFAA-EE78-43A1-9569-02D18D63808F}"/>
    <cellStyle name="Normal 5 2 10 4" xfId="10657" xr:uid="{AFF0CBCA-B118-4413-9775-04456032795A}"/>
    <cellStyle name="Normal 5 2 11" xfId="2562" xr:uid="{00000000-0005-0000-0000-0000EF160000}"/>
    <cellStyle name="Normal 5 2 11 2" xfId="6846" xr:uid="{00000000-0005-0000-0000-0000F0160000}"/>
    <cellStyle name="Normal 5 2 11 2 2" xfId="15288" xr:uid="{4793BECA-3E08-4B1A-8946-2E43EC60F0F5}"/>
    <cellStyle name="Normal 5 2 11 3" xfId="11070" xr:uid="{8B35576F-DB67-40A2-A7B5-A9D00B5729B7}"/>
    <cellStyle name="Normal 5 2 12" xfId="4781" xr:uid="{00000000-0005-0000-0000-0000F1160000}"/>
    <cellStyle name="Normal 5 2 12 2" xfId="13223" xr:uid="{344A2820-F5E1-4167-A3FC-4DFD035BD300}"/>
    <cellStyle name="Normal 5 2 13" xfId="9005" xr:uid="{2F83B76D-B56A-4A9D-8505-298A5DADF220}"/>
    <cellStyle name="Normal 5 2 2" xfId="408" xr:uid="{00000000-0005-0000-0000-0000F2160000}"/>
    <cellStyle name="Normal 5 2 2 10" xfId="2563" xr:uid="{00000000-0005-0000-0000-0000F3160000}"/>
    <cellStyle name="Normal 5 2 2 10 2" xfId="6847" xr:uid="{00000000-0005-0000-0000-0000F4160000}"/>
    <cellStyle name="Normal 5 2 2 10 2 2" xfId="15289" xr:uid="{3F1FB1D3-D2C9-40C3-9E09-D90A921A8107}"/>
    <cellStyle name="Normal 5 2 2 10 3" xfId="11071" xr:uid="{A2E7B13E-92B6-40A0-BFE5-81A94E23D94C}"/>
    <cellStyle name="Normal 5 2 2 11" xfId="4782" xr:uid="{00000000-0005-0000-0000-0000F5160000}"/>
    <cellStyle name="Normal 5 2 2 11 2" xfId="13224" xr:uid="{70AA6A58-16E7-4BE4-B515-2A54818ECCB0}"/>
    <cellStyle name="Normal 5 2 2 12" xfId="9006" xr:uid="{EB98E06B-BAD5-496D-8797-126F72FCC706}"/>
    <cellStyle name="Normal 5 2 2 2" xfId="409" xr:uid="{00000000-0005-0000-0000-0000F6160000}"/>
    <cellStyle name="Normal 5 2 2 2 10" xfId="4783" xr:uid="{00000000-0005-0000-0000-0000F7160000}"/>
    <cellStyle name="Normal 5 2 2 2 10 2" xfId="13225" xr:uid="{726A53E6-1DB5-4C8C-9E15-20CD98B4643A}"/>
    <cellStyle name="Normal 5 2 2 2 11" xfId="9007" xr:uid="{F036CA73-B124-48F4-BF3A-05063F7FE542}"/>
    <cellStyle name="Normal 5 2 2 2 2" xfId="410" xr:uid="{00000000-0005-0000-0000-0000F8160000}"/>
    <cellStyle name="Normal 5 2 2 2 2 10" xfId="9008" xr:uid="{2BD5C8B8-F553-49F8-9436-A33AE52D9AB1}"/>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2 2 2" xfId="15786" xr:uid="{3C6DBE14-63ED-43D3-A0DD-A235E28AA200}"/>
    <cellStyle name="Normal 5 2 2 2 2 2 2 2 2 3" xfId="11568" xr:uid="{3ED61F9F-83CB-48E4-97C0-23850C373D4B}"/>
    <cellStyle name="Normal 5 2 2 2 2 2 2 2 3" xfId="5199" xr:uid="{00000000-0005-0000-0000-0000FE160000}"/>
    <cellStyle name="Normal 5 2 2 2 2 2 2 2 3 2" xfId="13641" xr:uid="{75301ADF-909D-4693-A2A3-0D325D591BEC}"/>
    <cellStyle name="Normal 5 2 2 2 2 2 2 2 4" xfId="9423" xr:uid="{06CAB244-6AD7-4067-9DE3-56333806D4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2 2 2" xfId="16199" xr:uid="{FB485339-1CE1-4AE3-8361-8BC01A92B3C5}"/>
    <cellStyle name="Normal 5 2 2 2 2 2 2 3 2 3" xfId="11981" xr:uid="{7D928DDE-042F-4A57-8933-EBAB8B87162C}"/>
    <cellStyle name="Normal 5 2 2 2 2 2 2 3 3" xfId="5612" xr:uid="{00000000-0005-0000-0000-000002170000}"/>
    <cellStyle name="Normal 5 2 2 2 2 2 2 3 3 2" xfId="14054" xr:uid="{DF617C42-88C1-4772-8EB1-610D18ABF1EE}"/>
    <cellStyle name="Normal 5 2 2 2 2 2 2 3 4" xfId="9836" xr:uid="{11C609E2-2A4A-4111-9C37-3DEE14EA0343}"/>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2 2 2" xfId="16612" xr:uid="{BD8732BE-2C96-4600-AB68-749B4D08FC14}"/>
    <cellStyle name="Normal 5 2 2 2 2 2 2 4 2 3" xfId="12394" xr:uid="{D7D60559-F547-49BD-8196-25639EFE4EC9}"/>
    <cellStyle name="Normal 5 2 2 2 2 2 2 4 3" xfId="6025" xr:uid="{00000000-0005-0000-0000-000006170000}"/>
    <cellStyle name="Normal 5 2 2 2 2 2 2 4 3 2" xfId="14467" xr:uid="{50495125-7197-49B4-A2E8-1B7756580A04}"/>
    <cellStyle name="Normal 5 2 2 2 2 2 2 4 4" xfId="10249" xr:uid="{43FE9B8A-9180-4DBA-8603-9352EE915153}"/>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2 2 2" xfId="17025" xr:uid="{2B0470A2-A5AF-4C3E-86FC-CA5E31075278}"/>
    <cellStyle name="Normal 5 2 2 2 2 2 2 5 2 3" xfId="12807" xr:uid="{4F7106F9-8879-4D25-A1AE-B0A2CB9C553D}"/>
    <cellStyle name="Normal 5 2 2 2 2 2 2 5 3" xfId="6438" xr:uid="{00000000-0005-0000-0000-00000A170000}"/>
    <cellStyle name="Normal 5 2 2 2 2 2 2 5 3 2" xfId="14880" xr:uid="{4AFA15C3-0894-486E-8E24-5CB0317CED71}"/>
    <cellStyle name="Normal 5 2 2 2 2 2 2 5 4" xfId="10662" xr:uid="{D4FB9C83-8567-4266-A8D3-064726440E25}"/>
    <cellStyle name="Normal 5 2 2 2 2 2 2 6" xfId="2567" xr:uid="{00000000-0005-0000-0000-00000B170000}"/>
    <cellStyle name="Normal 5 2 2 2 2 2 2 6 2" xfId="6851" xr:uid="{00000000-0005-0000-0000-00000C170000}"/>
    <cellStyle name="Normal 5 2 2 2 2 2 2 6 2 2" xfId="15293" xr:uid="{9AB4B2E3-D1F3-4BAC-B5D0-A69445CDE49E}"/>
    <cellStyle name="Normal 5 2 2 2 2 2 2 6 3" xfId="11075" xr:uid="{A8173A19-61EF-46EB-B3E1-7C2CFAD0F4F0}"/>
    <cellStyle name="Normal 5 2 2 2 2 2 2 7" xfId="4786" xr:uid="{00000000-0005-0000-0000-00000D170000}"/>
    <cellStyle name="Normal 5 2 2 2 2 2 2 7 2" xfId="13228" xr:uid="{B8993383-C91C-462F-89F1-B7B3DE89A096}"/>
    <cellStyle name="Normal 5 2 2 2 2 2 2 8" xfId="9010" xr:uid="{37A0336B-B9B5-455D-A49B-0C16972BBB67}"/>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2 2 2" xfId="15785" xr:uid="{CDEBDBCE-3617-4199-B056-7B303F636923}"/>
    <cellStyle name="Normal 5 2 2 2 2 2 3 2 3" xfId="11567" xr:uid="{C3F80EA8-A62F-4F18-B585-4FF05944F3B4}"/>
    <cellStyle name="Normal 5 2 2 2 2 2 3 3" xfId="5198" xr:uid="{00000000-0005-0000-0000-000011170000}"/>
    <cellStyle name="Normal 5 2 2 2 2 2 3 3 2" xfId="13640" xr:uid="{A1CF026B-0F9F-41D3-A42D-402B9F0820DE}"/>
    <cellStyle name="Normal 5 2 2 2 2 2 3 4" xfId="9422" xr:uid="{72BE1958-B64B-46E9-A67D-D2BBBFF99757}"/>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2 2 2" xfId="16198" xr:uid="{411596C0-CFF9-4D08-B5A6-B2C2D873CD33}"/>
    <cellStyle name="Normal 5 2 2 2 2 2 4 2 3" xfId="11980" xr:uid="{B27D1759-E62E-4271-9674-54DC90C56FE5}"/>
    <cellStyle name="Normal 5 2 2 2 2 2 4 3" xfId="5611" xr:uid="{00000000-0005-0000-0000-000015170000}"/>
    <cellStyle name="Normal 5 2 2 2 2 2 4 3 2" xfId="14053" xr:uid="{B77D2375-CC3E-4AA4-91E0-BF2704B5F14E}"/>
    <cellStyle name="Normal 5 2 2 2 2 2 4 4" xfId="9835" xr:uid="{3F8BC4FD-128B-4589-99C7-2388EFD3A4AC}"/>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2 2 2" xfId="16611" xr:uid="{0403843E-60FC-4232-890D-88EB07469ADE}"/>
    <cellStyle name="Normal 5 2 2 2 2 2 5 2 3" xfId="12393" xr:uid="{728825E7-2612-4730-805E-DD2BCDA9E575}"/>
    <cellStyle name="Normal 5 2 2 2 2 2 5 3" xfId="6024" xr:uid="{00000000-0005-0000-0000-000019170000}"/>
    <cellStyle name="Normal 5 2 2 2 2 2 5 3 2" xfId="14466" xr:uid="{8CEB9ED0-8606-4062-9A86-6078D136CFA7}"/>
    <cellStyle name="Normal 5 2 2 2 2 2 5 4" xfId="10248" xr:uid="{F514729F-4CEC-498B-A6AE-1E3648D8CBEA}"/>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2 2 2" xfId="17024" xr:uid="{AC250DD6-7E8E-4024-8CEB-F4729DD5EDC0}"/>
    <cellStyle name="Normal 5 2 2 2 2 2 6 2 3" xfId="12806" xr:uid="{89DD3F7F-507D-44CE-9E6F-9676C3486EDE}"/>
    <cellStyle name="Normal 5 2 2 2 2 2 6 3" xfId="6437" xr:uid="{00000000-0005-0000-0000-00001D170000}"/>
    <cellStyle name="Normal 5 2 2 2 2 2 6 3 2" xfId="14879" xr:uid="{88FBA905-80D2-4DCD-BFB6-91D80110EA64}"/>
    <cellStyle name="Normal 5 2 2 2 2 2 6 4" xfId="10661" xr:uid="{1E62521A-9374-4040-A173-33736AC8C8B8}"/>
    <cellStyle name="Normal 5 2 2 2 2 2 7" xfId="2566" xr:uid="{00000000-0005-0000-0000-00001E170000}"/>
    <cellStyle name="Normal 5 2 2 2 2 2 7 2" xfId="6850" xr:uid="{00000000-0005-0000-0000-00001F170000}"/>
    <cellStyle name="Normal 5 2 2 2 2 2 7 2 2" xfId="15292" xr:uid="{373F3E12-38F1-456D-8902-E4B316990480}"/>
    <cellStyle name="Normal 5 2 2 2 2 2 7 3" xfId="11074" xr:uid="{8A1B1B2D-3B7E-4BD4-BF97-C9035AC51F8D}"/>
    <cellStyle name="Normal 5 2 2 2 2 2 8" xfId="4785" xr:uid="{00000000-0005-0000-0000-000020170000}"/>
    <cellStyle name="Normal 5 2 2 2 2 2 8 2" xfId="13227" xr:uid="{2ED1FA22-6F0F-44CC-B862-F8EFF84680F5}"/>
    <cellStyle name="Normal 5 2 2 2 2 2 9" xfId="9009" xr:uid="{45799C73-811C-44F3-BF35-C16605E652C7}"/>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2 2 2" xfId="15787" xr:uid="{5B9D1E4A-2255-4373-BD53-0E100D215601}"/>
    <cellStyle name="Normal 5 2 2 2 2 3 2 2 3" xfId="11569" xr:uid="{6AD53E52-9374-4F59-AC49-969BEFCB2854}"/>
    <cellStyle name="Normal 5 2 2 2 2 3 2 3" xfId="5200" xr:uid="{00000000-0005-0000-0000-000025170000}"/>
    <cellStyle name="Normal 5 2 2 2 2 3 2 3 2" xfId="13642" xr:uid="{F1570038-9A63-470E-B831-D9D7AD871813}"/>
    <cellStyle name="Normal 5 2 2 2 2 3 2 4" xfId="9424" xr:uid="{5CB49B6D-63B4-4857-9FA7-3B00E9F59FFE}"/>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2 2 2" xfId="16200" xr:uid="{CF22FF59-36DC-4352-BFB1-D523055A8095}"/>
    <cellStyle name="Normal 5 2 2 2 2 3 3 2 3" xfId="11982" xr:uid="{8D989B3C-770A-423D-9159-5B8764A740D5}"/>
    <cellStyle name="Normal 5 2 2 2 2 3 3 3" xfId="5613" xr:uid="{00000000-0005-0000-0000-000029170000}"/>
    <cellStyle name="Normal 5 2 2 2 2 3 3 3 2" xfId="14055" xr:uid="{DE0756BC-297E-4014-990E-F55DEBAC6D8D}"/>
    <cellStyle name="Normal 5 2 2 2 2 3 3 4" xfId="9837" xr:uid="{A728770D-7A0E-4A72-82F3-0881AD10FEE5}"/>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2 2 2" xfId="16613" xr:uid="{E2F0102A-2879-4114-A450-CFF54CAC981A}"/>
    <cellStyle name="Normal 5 2 2 2 2 3 4 2 3" xfId="12395" xr:uid="{24709A09-6A1B-4FE5-9F3F-8A7CC76F65A6}"/>
    <cellStyle name="Normal 5 2 2 2 2 3 4 3" xfId="6026" xr:uid="{00000000-0005-0000-0000-00002D170000}"/>
    <cellStyle name="Normal 5 2 2 2 2 3 4 3 2" xfId="14468" xr:uid="{C25501DF-3873-44CD-A5D2-EC2F5721F4BD}"/>
    <cellStyle name="Normal 5 2 2 2 2 3 4 4" xfId="10250" xr:uid="{8D9F12B2-D336-4618-BCCC-6A93FC8C2331}"/>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2 2 2" xfId="17026" xr:uid="{AE667A33-CBDB-492F-A0AC-AA383E0C3602}"/>
    <cellStyle name="Normal 5 2 2 2 2 3 5 2 3" xfId="12808" xr:uid="{BD4CA1C3-ED85-4FC4-AA6A-2FA92C878D77}"/>
    <cellStyle name="Normal 5 2 2 2 2 3 5 3" xfId="6439" xr:uid="{00000000-0005-0000-0000-000031170000}"/>
    <cellStyle name="Normal 5 2 2 2 2 3 5 3 2" xfId="14881" xr:uid="{AB7863D8-3B2A-4EB6-9690-56D4F617D033}"/>
    <cellStyle name="Normal 5 2 2 2 2 3 5 4" xfId="10663" xr:uid="{D9B6E342-5A44-4F5F-880A-92F47172AF15}"/>
    <cellStyle name="Normal 5 2 2 2 2 3 6" xfId="2568" xr:uid="{00000000-0005-0000-0000-000032170000}"/>
    <cellStyle name="Normal 5 2 2 2 2 3 6 2" xfId="6852" xr:uid="{00000000-0005-0000-0000-000033170000}"/>
    <cellStyle name="Normal 5 2 2 2 2 3 6 2 2" xfId="15294" xr:uid="{9FDA5D12-A900-4BC0-9B94-DD8A6C15DF17}"/>
    <cellStyle name="Normal 5 2 2 2 2 3 6 3" xfId="11076" xr:uid="{CEEBBDA7-86DA-4E91-8BE9-59CC148F48E7}"/>
    <cellStyle name="Normal 5 2 2 2 2 3 7" xfId="4787" xr:uid="{00000000-0005-0000-0000-000034170000}"/>
    <cellStyle name="Normal 5 2 2 2 2 3 7 2" xfId="13229" xr:uid="{E8480630-74DD-4F2C-AD55-0E3C52CA679B}"/>
    <cellStyle name="Normal 5 2 2 2 2 3 8" xfId="9011" xr:uid="{6B7DB0A5-E11F-40FA-A14E-F8C499BD5AD5}"/>
    <cellStyle name="Normal 5 2 2 2 2 4" xfId="884" xr:uid="{00000000-0005-0000-0000-000035170000}"/>
    <cellStyle name="Normal 5 2 2 2 2 4 2" xfId="3119" xr:uid="{00000000-0005-0000-0000-000036170000}"/>
    <cellStyle name="Normal 5 2 2 2 2 4 2 2" xfId="7342" xr:uid="{00000000-0005-0000-0000-000037170000}"/>
    <cellStyle name="Normal 5 2 2 2 2 4 2 2 2" xfId="15784" xr:uid="{35A8383F-04A7-4871-B743-5B9570EA17DF}"/>
    <cellStyle name="Normal 5 2 2 2 2 4 2 3" xfId="11566" xr:uid="{8079E67D-72DF-47AA-BA29-6DD84184417B}"/>
    <cellStyle name="Normal 5 2 2 2 2 4 3" xfId="5197" xr:uid="{00000000-0005-0000-0000-000038170000}"/>
    <cellStyle name="Normal 5 2 2 2 2 4 3 2" xfId="13639" xr:uid="{1B3F61CE-C903-40BF-A0E9-EF22889641F1}"/>
    <cellStyle name="Normal 5 2 2 2 2 4 4" xfId="9421" xr:uid="{1D6914F5-B3A9-495D-9802-D364FB814404}"/>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2 2 2" xfId="16197" xr:uid="{98F5C1A9-DCE4-48A3-A905-9F8250225223}"/>
    <cellStyle name="Normal 5 2 2 2 2 5 2 3" xfId="11979" xr:uid="{2003F691-EB40-450C-9A5E-D7ED1E273447}"/>
    <cellStyle name="Normal 5 2 2 2 2 5 3" xfId="5610" xr:uid="{00000000-0005-0000-0000-00003C170000}"/>
    <cellStyle name="Normal 5 2 2 2 2 5 3 2" xfId="14052" xr:uid="{CE08E79A-7FA7-4844-9466-6BB33D58A388}"/>
    <cellStyle name="Normal 5 2 2 2 2 5 4" xfId="9834" xr:uid="{B30FD46A-E4C1-4ACB-954F-32E0E761A822}"/>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2 2 2" xfId="16610" xr:uid="{6272BC2E-B37E-472A-BC92-3C55B48A6008}"/>
    <cellStyle name="Normal 5 2 2 2 2 6 2 3" xfId="12392" xr:uid="{885507D4-B83C-4533-BCAF-647501BBDD6E}"/>
    <cellStyle name="Normal 5 2 2 2 2 6 3" xfId="6023" xr:uid="{00000000-0005-0000-0000-000040170000}"/>
    <cellStyle name="Normal 5 2 2 2 2 6 3 2" xfId="14465" xr:uid="{5B3365CC-8B65-4315-8EAE-E5171C675943}"/>
    <cellStyle name="Normal 5 2 2 2 2 6 4" xfId="10247" xr:uid="{8115ED0B-2DFF-4ACE-ABF5-D6E7517F2C66}"/>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2 2 2" xfId="17023" xr:uid="{C03F5047-C202-4F45-9030-5C8C5E83B99C}"/>
    <cellStyle name="Normal 5 2 2 2 2 7 2 3" xfId="12805" xr:uid="{3E06C901-5305-4F7D-9082-755858CCF40B}"/>
    <cellStyle name="Normal 5 2 2 2 2 7 3" xfId="6436" xr:uid="{00000000-0005-0000-0000-000044170000}"/>
    <cellStyle name="Normal 5 2 2 2 2 7 3 2" xfId="14878" xr:uid="{48E55232-E426-4751-8FA7-62D646ED7126}"/>
    <cellStyle name="Normal 5 2 2 2 2 7 4" xfId="10660" xr:uid="{CE6EAD06-9AAA-45AD-BCFE-6FB94891DFCA}"/>
    <cellStyle name="Normal 5 2 2 2 2 8" xfId="2565" xr:uid="{00000000-0005-0000-0000-000045170000}"/>
    <cellStyle name="Normal 5 2 2 2 2 8 2" xfId="6849" xr:uid="{00000000-0005-0000-0000-000046170000}"/>
    <cellStyle name="Normal 5 2 2 2 2 8 2 2" xfId="15291" xr:uid="{3BF041F6-1AF5-43F5-9373-994739838086}"/>
    <cellStyle name="Normal 5 2 2 2 2 8 3" xfId="11073" xr:uid="{75C5C47E-65F7-46DF-9939-4CB442B1AA9E}"/>
    <cellStyle name="Normal 5 2 2 2 2 9" xfId="4784" xr:uid="{00000000-0005-0000-0000-000047170000}"/>
    <cellStyle name="Normal 5 2 2 2 2 9 2" xfId="13226" xr:uid="{C48660F2-7B2E-4C7C-A107-D20C3FE6F93A}"/>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2 2 2" xfId="15789" xr:uid="{F428555A-869F-4390-A92A-908F7A9C05DA}"/>
    <cellStyle name="Normal 5 2 2 2 3 2 2 2 3" xfId="11571" xr:uid="{D2A56EC7-77B5-4ECE-B5FA-4BC42D2C25F7}"/>
    <cellStyle name="Normal 5 2 2 2 3 2 2 3" xfId="5202" xr:uid="{00000000-0005-0000-0000-00004D170000}"/>
    <cellStyle name="Normal 5 2 2 2 3 2 2 3 2" xfId="13644" xr:uid="{70116681-4307-4B37-8ECC-F554AB4B701F}"/>
    <cellStyle name="Normal 5 2 2 2 3 2 2 4" xfId="9426" xr:uid="{9E01D680-F0E6-4951-A2DD-C19CBAAFE6EE}"/>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2 2 2" xfId="16202" xr:uid="{005B8470-701F-4987-8617-85AEE89E9679}"/>
    <cellStyle name="Normal 5 2 2 2 3 2 3 2 3" xfId="11984" xr:uid="{A78DB272-C637-42EC-84E9-A1C5B195C7E1}"/>
    <cellStyle name="Normal 5 2 2 2 3 2 3 3" xfId="5615" xr:uid="{00000000-0005-0000-0000-000051170000}"/>
    <cellStyle name="Normal 5 2 2 2 3 2 3 3 2" xfId="14057" xr:uid="{412DBDA5-03AA-4686-97CB-EBED1660355A}"/>
    <cellStyle name="Normal 5 2 2 2 3 2 3 4" xfId="9839" xr:uid="{87CAE301-0B44-4A94-BDBC-6AC3803292B9}"/>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2 2 2" xfId="16615" xr:uid="{9D4B0176-4451-40BD-80B7-9D168E464698}"/>
    <cellStyle name="Normal 5 2 2 2 3 2 4 2 3" xfId="12397" xr:uid="{421291D4-479E-4ACE-B170-79EDE640CE61}"/>
    <cellStyle name="Normal 5 2 2 2 3 2 4 3" xfId="6028" xr:uid="{00000000-0005-0000-0000-000055170000}"/>
    <cellStyle name="Normal 5 2 2 2 3 2 4 3 2" xfId="14470" xr:uid="{EC7CDCDE-2AE3-4B06-B339-F0421746625D}"/>
    <cellStyle name="Normal 5 2 2 2 3 2 4 4" xfId="10252" xr:uid="{A893D8E2-43AE-4CB1-B4F9-25B7A65B2925}"/>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2 2 2" xfId="17028" xr:uid="{FB7A416B-DF4B-4D9F-92F7-E530E4F57FE7}"/>
    <cellStyle name="Normal 5 2 2 2 3 2 5 2 3" xfId="12810" xr:uid="{34F0DFF9-7089-436E-993B-8F652A9DA52A}"/>
    <cellStyle name="Normal 5 2 2 2 3 2 5 3" xfId="6441" xr:uid="{00000000-0005-0000-0000-000059170000}"/>
    <cellStyle name="Normal 5 2 2 2 3 2 5 3 2" xfId="14883" xr:uid="{F19D0F67-EADF-4B7B-A3EF-562FE1912D9C}"/>
    <cellStyle name="Normal 5 2 2 2 3 2 5 4" xfId="10665" xr:uid="{BE8685DA-42AB-4790-A842-9D63CC83BCE7}"/>
    <cellStyle name="Normal 5 2 2 2 3 2 6" xfId="2570" xr:uid="{00000000-0005-0000-0000-00005A170000}"/>
    <cellStyle name="Normal 5 2 2 2 3 2 6 2" xfId="6854" xr:uid="{00000000-0005-0000-0000-00005B170000}"/>
    <cellStyle name="Normal 5 2 2 2 3 2 6 2 2" xfId="15296" xr:uid="{61D1069D-A8E2-44B4-94CD-B9242B323ED2}"/>
    <cellStyle name="Normal 5 2 2 2 3 2 6 3" xfId="11078" xr:uid="{CCCDF9CD-6D66-4FA4-AB08-006A5554D8B9}"/>
    <cellStyle name="Normal 5 2 2 2 3 2 7" xfId="4789" xr:uid="{00000000-0005-0000-0000-00005C170000}"/>
    <cellStyle name="Normal 5 2 2 2 3 2 7 2" xfId="13231" xr:uid="{0E3BD7CF-978E-4002-B8A0-FAD8EE591FBE}"/>
    <cellStyle name="Normal 5 2 2 2 3 2 8" xfId="9013" xr:uid="{0D9A67E7-BEBB-4133-A9F2-1E61F96D9ACE}"/>
    <cellStyle name="Normal 5 2 2 2 3 3" xfId="888" xr:uid="{00000000-0005-0000-0000-00005D170000}"/>
    <cellStyle name="Normal 5 2 2 2 3 3 2" xfId="3123" xr:uid="{00000000-0005-0000-0000-00005E170000}"/>
    <cellStyle name="Normal 5 2 2 2 3 3 2 2" xfId="7346" xr:uid="{00000000-0005-0000-0000-00005F170000}"/>
    <cellStyle name="Normal 5 2 2 2 3 3 2 2 2" xfId="15788" xr:uid="{7B96D45A-879D-44AB-8485-3C892B4119CC}"/>
    <cellStyle name="Normal 5 2 2 2 3 3 2 3" xfId="11570" xr:uid="{2EC8832F-3A2C-4ED7-A863-293BCA032175}"/>
    <cellStyle name="Normal 5 2 2 2 3 3 3" xfId="5201" xr:uid="{00000000-0005-0000-0000-000060170000}"/>
    <cellStyle name="Normal 5 2 2 2 3 3 3 2" xfId="13643" xr:uid="{7C4C503A-82AD-4ED8-B75D-FA529D9EB6C5}"/>
    <cellStyle name="Normal 5 2 2 2 3 3 4" xfId="9425" xr:uid="{FF1D3310-47CC-42E2-81AC-3229DB443A1F}"/>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2 2 2" xfId="16201" xr:uid="{DABA0F23-5495-426A-B8E7-888B1F7B1E4C}"/>
    <cellStyle name="Normal 5 2 2 2 3 4 2 3" xfId="11983" xr:uid="{96E66D3C-94B6-40F9-94FD-19AB8B4E195E}"/>
    <cellStyle name="Normal 5 2 2 2 3 4 3" xfId="5614" xr:uid="{00000000-0005-0000-0000-000064170000}"/>
    <cellStyle name="Normal 5 2 2 2 3 4 3 2" xfId="14056" xr:uid="{BF0249F4-A112-455C-A2F8-91A19BD6A52B}"/>
    <cellStyle name="Normal 5 2 2 2 3 4 4" xfId="9838" xr:uid="{7075BDB6-0953-44A9-9525-628DAB3B46DE}"/>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2 2 2" xfId="16614" xr:uid="{F60DAA9A-D02C-4933-BD6D-8A13567CAA93}"/>
    <cellStyle name="Normal 5 2 2 2 3 5 2 3" xfId="12396" xr:uid="{5B0E273E-9998-4D1C-A144-FF656FB8FD93}"/>
    <cellStyle name="Normal 5 2 2 2 3 5 3" xfId="6027" xr:uid="{00000000-0005-0000-0000-000068170000}"/>
    <cellStyle name="Normal 5 2 2 2 3 5 3 2" xfId="14469" xr:uid="{4DB72EDF-9E37-44AF-ACA7-0434D90D3E21}"/>
    <cellStyle name="Normal 5 2 2 2 3 5 4" xfId="10251" xr:uid="{CE712545-BD69-4086-A438-A7980810C5E9}"/>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2 2 2" xfId="17027" xr:uid="{D303442F-661F-422B-86C2-D0B19D95AEAE}"/>
    <cellStyle name="Normal 5 2 2 2 3 6 2 3" xfId="12809" xr:uid="{07DD31F0-1A1C-4DFC-A090-FF777B49EB02}"/>
    <cellStyle name="Normal 5 2 2 2 3 6 3" xfId="6440" xr:uid="{00000000-0005-0000-0000-00006C170000}"/>
    <cellStyle name="Normal 5 2 2 2 3 6 3 2" xfId="14882" xr:uid="{7B365CEF-D4F1-4740-B62E-F023EEE76C1C}"/>
    <cellStyle name="Normal 5 2 2 2 3 6 4" xfId="10664" xr:uid="{A9EC5931-298A-490D-82D4-4760F45975AC}"/>
    <cellStyle name="Normal 5 2 2 2 3 7" xfId="2569" xr:uid="{00000000-0005-0000-0000-00006D170000}"/>
    <cellStyle name="Normal 5 2 2 2 3 7 2" xfId="6853" xr:uid="{00000000-0005-0000-0000-00006E170000}"/>
    <cellStyle name="Normal 5 2 2 2 3 7 2 2" xfId="15295" xr:uid="{59740233-4123-492B-B1AE-05987A878AA3}"/>
    <cellStyle name="Normal 5 2 2 2 3 7 3" xfId="11077" xr:uid="{BAD4E771-56A8-406B-AAB6-F3863A2D8D33}"/>
    <cellStyle name="Normal 5 2 2 2 3 8" xfId="4788" xr:uid="{00000000-0005-0000-0000-00006F170000}"/>
    <cellStyle name="Normal 5 2 2 2 3 8 2" xfId="13230" xr:uid="{2D3E850D-0879-4175-BDB5-F830E6F98ED2}"/>
    <cellStyle name="Normal 5 2 2 2 3 9" xfId="9012" xr:uid="{F0A4BA14-5461-4D7D-AC4C-BAC624896DDF}"/>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2 2 2" xfId="15790" xr:uid="{BC813631-C13F-41CF-BAD1-7E141BE72A32}"/>
    <cellStyle name="Normal 5 2 2 2 4 2 2 3" xfId="11572" xr:uid="{BA7634B9-7EF2-46B0-9862-A688406B9302}"/>
    <cellStyle name="Normal 5 2 2 2 4 2 3" xfId="5203" xr:uid="{00000000-0005-0000-0000-000074170000}"/>
    <cellStyle name="Normal 5 2 2 2 4 2 3 2" xfId="13645" xr:uid="{837FB86B-6C08-4A8D-9669-F180A15EB20F}"/>
    <cellStyle name="Normal 5 2 2 2 4 2 4" xfId="9427" xr:uid="{7244B425-AEFA-44F9-BFCB-C3270AB72AB6}"/>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2 2 2" xfId="16203" xr:uid="{A724E889-BD34-46D4-8859-74E052EC62FB}"/>
    <cellStyle name="Normal 5 2 2 2 4 3 2 3" xfId="11985" xr:uid="{C43C7BE0-9BC5-4858-B5A7-90BE4850EE02}"/>
    <cellStyle name="Normal 5 2 2 2 4 3 3" xfId="5616" xr:uid="{00000000-0005-0000-0000-000078170000}"/>
    <cellStyle name="Normal 5 2 2 2 4 3 3 2" xfId="14058" xr:uid="{7E997EC7-937B-4FA4-B211-39B7FF5F048D}"/>
    <cellStyle name="Normal 5 2 2 2 4 3 4" xfId="9840" xr:uid="{B0523D59-8EB4-499E-8501-4CD63AA04514}"/>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2 2 2" xfId="16616" xr:uid="{7DD6C519-32F8-46E1-A113-C4C52C0EA796}"/>
    <cellStyle name="Normal 5 2 2 2 4 4 2 3" xfId="12398" xr:uid="{C67FB826-03BC-4A60-9279-235BB530A03A}"/>
    <cellStyle name="Normal 5 2 2 2 4 4 3" xfId="6029" xr:uid="{00000000-0005-0000-0000-00007C170000}"/>
    <cellStyle name="Normal 5 2 2 2 4 4 3 2" xfId="14471" xr:uid="{E5254D2E-0065-4960-9797-51E62FFEEA76}"/>
    <cellStyle name="Normal 5 2 2 2 4 4 4" xfId="10253" xr:uid="{E4556DD0-17C2-4862-A798-F5A421A8CF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2 2 2" xfId="17029" xr:uid="{862AFA19-A9E2-4289-B5BE-2FF56D753C19}"/>
    <cellStyle name="Normal 5 2 2 2 4 5 2 3" xfId="12811" xr:uid="{276EBB66-14FE-440C-B3D5-CB77C410217C}"/>
    <cellStyle name="Normal 5 2 2 2 4 5 3" xfId="6442" xr:uid="{00000000-0005-0000-0000-000080170000}"/>
    <cellStyle name="Normal 5 2 2 2 4 5 3 2" xfId="14884" xr:uid="{09097F54-77D6-4A8B-A213-CA66F30E07A9}"/>
    <cellStyle name="Normal 5 2 2 2 4 5 4" xfId="10666" xr:uid="{AD23FD3E-0FAB-495A-A93F-01AC4D66CAB9}"/>
    <cellStyle name="Normal 5 2 2 2 4 6" xfId="2571" xr:uid="{00000000-0005-0000-0000-000081170000}"/>
    <cellStyle name="Normal 5 2 2 2 4 6 2" xfId="6855" xr:uid="{00000000-0005-0000-0000-000082170000}"/>
    <cellStyle name="Normal 5 2 2 2 4 6 2 2" xfId="15297" xr:uid="{3D9D1E16-060A-403A-95E9-421DE7886BD6}"/>
    <cellStyle name="Normal 5 2 2 2 4 6 3" xfId="11079" xr:uid="{C63F1CEE-ACEF-491C-B0AC-2BF3B9C4F5C2}"/>
    <cellStyle name="Normal 5 2 2 2 4 7" xfId="4790" xr:uid="{00000000-0005-0000-0000-000083170000}"/>
    <cellStyle name="Normal 5 2 2 2 4 7 2" xfId="13232" xr:uid="{A0696887-036E-440B-8187-94FB63B8284E}"/>
    <cellStyle name="Normal 5 2 2 2 4 8" xfId="9014" xr:uid="{FB083487-33DB-44E9-817E-4DAAD6143FBF}"/>
    <cellStyle name="Normal 5 2 2 2 5" xfId="883" xr:uid="{00000000-0005-0000-0000-000084170000}"/>
    <cellStyle name="Normal 5 2 2 2 5 2" xfId="3118" xr:uid="{00000000-0005-0000-0000-000085170000}"/>
    <cellStyle name="Normal 5 2 2 2 5 2 2" xfId="7341" xr:uid="{00000000-0005-0000-0000-000086170000}"/>
    <cellStyle name="Normal 5 2 2 2 5 2 2 2" xfId="15783" xr:uid="{FB9650D6-A90C-4BFB-9BFE-816731343C84}"/>
    <cellStyle name="Normal 5 2 2 2 5 2 3" xfId="11565" xr:uid="{543C8002-DF46-439F-AB30-BC5BBF0452D3}"/>
    <cellStyle name="Normal 5 2 2 2 5 3" xfId="5196" xr:uid="{00000000-0005-0000-0000-000087170000}"/>
    <cellStyle name="Normal 5 2 2 2 5 3 2" xfId="13638" xr:uid="{151F249A-1B1F-4395-AF93-ACCF102C600E}"/>
    <cellStyle name="Normal 5 2 2 2 5 4" xfId="9420" xr:uid="{EE92F8A5-C3AF-4197-9C33-A34B3275A0C6}"/>
    <cellStyle name="Normal 5 2 2 2 6" xfId="1301" xr:uid="{00000000-0005-0000-0000-000088170000}"/>
    <cellStyle name="Normal 5 2 2 2 6 2" xfId="3531" xr:uid="{00000000-0005-0000-0000-000089170000}"/>
    <cellStyle name="Normal 5 2 2 2 6 2 2" xfId="7754" xr:uid="{00000000-0005-0000-0000-00008A170000}"/>
    <cellStyle name="Normal 5 2 2 2 6 2 2 2" xfId="16196" xr:uid="{C0DD803F-A303-47D6-BEF7-8B8C191AB5C0}"/>
    <cellStyle name="Normal 5 2 2 2 6 2 3" xfId="11978" xr:uid="{D1397564-1EC1-4BEE-9017-BE4F61D074BB}"/>
    <cellStyle name="Normal 5 2 2 2 6 3" xfId="5609" xr:uid="{00000000-0005-0000-0000-00008B170000}"/>
    <cellStyle name="Normal 5 2 2 2 6 3 2" xfId="14051" xr:uid="{E422C13B-DB62-49AD-A88D-1B699E43F62B}"/>
    <cellStyle name="Normal 5 2 2 2 6 4" xfId="9833" xr:uid="{D51FDE4E-3CBA-476C-A03D-12D8AEE9CDAB}"/>
    <cellStyle name="Normal 5 2 2 2 7" xfId="1714" xr:uid="{00000000-0005-0000-0000-00008C170000}"/>
    <cellStyle name="Normal 5 2 2 2 7 2" xfId="3944" xr:uid="{00000000-0005-0000-0000-00008D170000}"/>
    <cellStyle name="Normal 5 2 2 2 7 2 2" xfId="8167" xr:uid="{00000000-0005-0000-0000-00008E170000}"/>
    <cellStyle name="Normal 5 2 2 2 7 2 2 2" xfId="16609" xr:uid="{9FA72A24-55E4-423F-ACB1-88512F484EB0}"/>
    <cellStyle name="Normal 5 2 2 2 7 2 3" xfId="12391" xr:uid="{15404023-11E7-4316-A74A-B49767E35A05}"/>
    <cellStyle name="Normal 5 2 2 2 7 3" xfId="6022" xr:uid="{00000000-0005-0000-0000-00008F170000}"/>
    <cellStyle name="Normal 5 2 2 2 7 3 2" xfId="14464" xr:uid="{C7D047B9-804F-4B29-9967-C2BDAE0EDDE8}"/>
    <cellStyle name="Normal 5 2 2 2 7 4" xfId="10246" xr:uid="{3E520989-08B9-4B0E-9C7D-02A8968EE65B}"/>
    <cellStyle name="Normal 5 2 2 2 8" xfId="2128" xr:uid="{00000000-0005-0000-0000-000090170000}"/>
    <cellStyle name="Normal 5 2 2 2 8 2" xfId="4357" xr:uid="{00000000-0005-0000-0000-000091170000}"/>
    <cellStyle name="Normal 5 2 2 2 8 2 2" xfId="8580" xr:uid="{00000000-0005-0000-0000-000092170000}"/>
    <cellStyle name="Normal 5 2 2 2 8 2 2 2" xfId="17022" xr:uid="{DC586A23-C00F-4427-9B9C-459BBF07BE51}"/>
    <cellStyle name="Normal 5 2 2 2 8 2 3" xfId="12804" xr:uid="{9B612768-9979-4C24-928B-50E63C983451}"/>
    <cellStyle name="Normal 5 2 2 2 8 3" xfId="6435" xr:uid="{00000000-0005-0000-0000-000093170000}"/>
    <cellStyle name="Normal 5 2 2 2 8 3 2" xfId="14877" xr:uid="{60CB5EFD-9A6F-4CC9-A4D5-6CC790B53F5F}"/>
    <cellStyle name="Normal 5 2 2 2 8 4" xfId="10659" xr:uid="{25358970-6FCA-4B6A-B1FC-3AE63367A8CB}"/>
    <cellStyle name="Normal 5 2 2 2 9" xfId="2564" xr:uid="{00000000-0005-0000-0000-000094170000}"/>
    <cellStyle name="Normal 5 2 2 2 9 2" xfId="6848" xr:uid="{00000000-0005-0000-0000-000095170000}"/>
    <cellStyle name="Normal 5 2 2 2 9 2 2" xfId="15290" xr:uid="{719C5086-C73A-4256-AF14-CF21FCD32C3F}"/>
    <cellStyle name="Normal 5 2 2 2 9 3" xfId="11072" xr:uid="{34E0DA32-99D9-4C66-B092-EE3155319B1C}"/>
    <cellStyle name="Normal 5 2 2 3" xfId="417" xr:uid="{00000000-0005-0000-0000-000096170000}"/>
    <cellStyle name="Normal 5 2 2 3 10" xfId="9015" xr:uid="{825C2AD1-77C2-4737-8FDF-390753E3FC6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2 2 2" xfId="15793" xr:uid="{073D011C-39EF-4CEE-9E4E-03477F0F146D}"/>
    <cellStyle name="Normal 5 2 2 3 2 2 2 2 3" xfId="11575" xr:uid="{0E9F52F5-7B6C-424E-B540-7DDFAE694135}"/>
    <cellStyle name="Normal 5 2 2 3 2 2 2 3" xfId="5206" xr:uid="{00000000-0005-0000-0000-00009C170000}"/>
    <cellStyle name="Normal 5 2 2 3 2 2 2 3 2" xfId="13648" xr:uid="{060168A2-5BAB-4DEF-A327-C77301014A1B}"/>
    <cellStyle name="Normal 5 2 2 3 2 2 2 4" xfId="9430" xr:uid="{30232272-2EE7-4CBD-A2B9-74CAAA98EB6E}"/>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2 2 2" xfId="16206" xr:uid="{8BBC546C-246C-46D3-80C1-5A0DB1D53AC8}"/>
    <cellStyle name="Normal 5 2 2 3 2 2 3 2 3" xfId="11988" xr:uid="{A1C2BACC-8418-49AB-A598-0C01C8E7226D}"/>
    <cellStyle name="Normal 5 2 2 3 2 2 3 3" xfId="5619" xr:uid="{00000000-0005-0000-0000-0000A0170000}"/>
    <cellStyle name="Normal 5 2 2 3 2 2 3 3 2" xfId="14061" xr:uid="{22E8CA55-E08C-404E-AB38-EBFECA39B94C}"/>
    <cellStyle name="Normal 5 2 2 3 2 2 3 4" xfId="9843" xr:uid="{C2CDB814-AA82-405A-A5FA-AC99C3F479F2}"/>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2 2 2" xfId="16619" xr:uid="{CCF292F5-5C24-407D-8041-43EFAAF35C5A}"/>
    <cellStyle name="Normal 5 2 2 3 2 2 4 2 3" xfId="12401" xr:uid="{E4C6BB91-69C2-462B-9420-C3B8F7559778}"/>
    <cellStyle name="Normal 5 2 2 3 2 2 4 3" xfId="6032" xr:uid="{00000000-0005-0000-0000-0000A4170000}"/>
    <cellStyle name="Normal 5 2 2 3 2 2 4 3 2" xfId="14474" xr:uid="{513D2F19-C012-4BAF-884B-CBB60FB82CF0}"/>
    <cellStyle name="Normal 5 2 2 3 2 2 4 4" xfId="10256" xr:uid="{8772E045-FA49-4F2C-94FD-CF1079DEC85D}"/>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2 2 2" xfId="17032" xr:uid="{38191F54-89F1-4C79-BB91-8139E4FFA6F9}"/>
    <cellStyle name="Normal 5 2 2 3 2 2 5 2 3" xfId="12814" xr:uid="{CC6075DF-09BD-4D0B-875A-37D587930088}"/>
    <cellStyle name="Normal 5 2 2 3 2 2 5 3" xfId="6445" xr:uid="{00000000-0005-0000-0000-0000A8170000}"/>
    <cellStyle name="Normal 5 2 2 3 2 2 5 3 2" xfId="14887" xr:uid="{9B1A162C-F38E-40C9-845F-C598E080F520}"/>
    <cellStyle name="Normal 5 2 2 3 2 2 5 4" xfId="10669" xr:uid="{62432932-F6C6-42ED-A052-494B5B273621}"/>
    <cellStyle name="Normal 5 2 2 3 2 2 6" xfId="2574" xr:uid="{00000000-0005-0000-0000-0000A9170000}"/>
    <cellStyle name="Normal 5 2 2 3 2 2 6 2" xfId="6858" xr:uid="{00000000-0005-0000-0000-0000AA170000}"/>
    <cellStyle name="Normal 5 2 2 3 2 2 6 2 2" xfId="15300" xr:uid="{FDAC9A64-1E3B-4365-BDB5-73CAC163DE05}"/>
    <cellStyle name="Normal 5 2 2 3 2 2 6 3" xfId="11082" xr:uid="{2A95C3D5-69AD-464B-ADD0-17D0FD9DDB69}"/>
    <cellStyle name="Normal 5 2 2 3 2 2 7" xfId="4793" xr:uid="{00000000-0005-0000-0000-0000AB170000}"/>
    <cellStyle name="Normal 5 2 2 3 2 2 7 2" xfId="13235" xr:uid="{CC773DFD-764F-4D0B-90FB-72AD27F201B9}"/>
    <cellStyle name="Normal 5 2 2 3 2 2 8" xfId="9017" xr:uid="{98AC009F-5571-4B63-B8A9-51329F8C2403}"/>
    <cellStyle name="Normal 5 2 2 3 2 3" xfId="892" xr:uid="{00000000-0005-0000-0000-0000AC170000}"/>
    <cellStyle name="Normal 5 2 2 3 2 3 2" xfId="3127" xr:uid="{00000000-0005-0000-0000-0000AD170000}"/>
    <cellStyle name="Normal 5 2 2 3 2 3 2 2" xfId="7350" xr:uid="{00000000-0005-0000-0000-0000AE170000}"/>
    <cellStyle name="Normal 5 2 2 3 2 3 2 2 2" xfId="15792" xr:uid="{E3FFC025-2031-4901-9134-2B00A633F766}"/>
    <cellStyle name="Normal 5 2 2 3 2 3 2 3" xfId="11574" xr:uid="{4D61DCB0-1BD4-442D-9707-C43BF72285E2}"/>
    <cellStyle name="Normal 5 2 2 3 2 3 3" xfId="5205" xr:uid="{00000000-0005-0000-0000-0000AF170000}"/>
    <cellStyle name="Normal 5 2 2 3 2 3 3 2" xfId="13647" xr:uid="{D6197EE4-7927-4948-9D5F-E462D83EF16C}"/>
    <cellStyle name="Normal 5 2 2 3 2 3 4" xfId="9429" xr:uid="{7D03C0C7-7BCD-41FC-A766-3E732198CCC4}"/>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2 2 2" xfId="16205" xr:uid="{FB4BE544-AD0E-40E1-A2A2-3C7863ECA3E9}"/>
    <cellStyle name="Normal 5 2 2 3 2 4 2 3" xfId="11987" xr:uid="{BA5750BA-2312-4B3F-B586-6D9555C29C73}"/>
    <cellStyle name="Normal 5 2 2 3 2 4 3" xfId="5618" xr:uid="{00000000-0005-0000-0000-0000B3170000}"/>
    <cellStyle name="Normal 5 2 2 3 2 4 3 2" xfId="14060" xr:uid="{4846699F-692F-48C2-8798-2B7B3045A674}"/>
    <cellStyle name="Normal 5 2 2 3 2 4 4" xfId="9842" xr:uid="{70CD1EA3-BCEB-4167-9FBE-009F2EB48DA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2 2 2" xfId="16618" xr:uid="{FFB616F5-669C-40FE-B73B-456D45FA3420}"/>
    <cellStyle name="Normal 5 2 2 3 2 5 2 3" xfId="12400" xr:uid="{9BA1CBEE-1194-4F08-A164-A76956ACE171}"/>
    <cellStyle name="Normal 5 2 2 3 2 5 3" xfId="6031" xr:uid="{00000000-0005-0000-0000-0000B7170000}"/>
    <cellStyle name="Normal 5 2 2 3 2 5 3 2" xfId="14473" xr:uid="{266DEA4D-C280-424B-99C3-DE555348F97D}"/>
    <cellStyle name="Normal 5 2 2 3 2 5 4" xfId="10255" xr:uid="{0ED277AC-01CD-4668-BE6E-C67E8C2F83B5}"/>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2 2 2" xfId="17031" xr:uid="{D2AFC96B-D785-4A75-8F4B-CF536D30BE62}"/>
    <cellStyle name="Normal 5 2 2 3 2 6 2 3" xfId="12813" xr:uid="{CCB244C8-6241-41D8-969F-62BE62FA2338}"/>
    <cellStyle name="Normal 5 2 2 3 2 6 3" xfId="6444" xr:uid="{00000000-0005-0000-0000-0000BB170000}"/>
    <cellStyle name="Normal 5 2 2 3 2 6 3 2" xfId="14886" xr:uid="{5E130C87-ABD7-4893-8DDC-1044187D26E8}"/>
    <cellStyle name="Normal 5 2 2 3 2 6 4" xfId="10668" xr:uid="{4A83D023-75F0-47E1-AF77-2B0BAEAA78E1}"/>
    <cellStyle name="Normal 5 2 2 3 2 7" xfId="2573" xr:uid="{00000000-0005-0000-0000-0000BC170000}"/>
    <cellStyle name="Normal 5 2 2 3 2 7 2" xfId="6857" xr:uid="{00000000-0005-0000-0000-0000BD170000}"/>
    <cellStyle name="Normal 5 2 2 3 2 7 2 2" xfId="15299" xr:uid="{AD544A03-47BD-46A3-92D8-90D68547439F}"/>
    <cellStyle name="Normal 5 2 2 3 2 7 3" xfId="11081" xr:uid="{EDE8734C-8053-464D-B79E-1205D8235EE6}"/>
    <cellStyle name="Normal 5 2 2 3 2 8" xfId="4792" xr:uid="{00000000-0005-0000-0000-0000BE170000}"/>
    <cellStyle name="Normal 5 2 2 3 2 8 2" xfId="13234" xr:uid="{E326A3BF-84F5-49F2-929E-3BADA42685F7}"/>
    <cellStyle name="Normal 5 2 2 3 2 9" xfId="9016" xr:uid="{54F37697-5EAE-4E74-964A-2C35A7B18A06}"/>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2 2 2" xfId="15794" xr:uid="{A8C65903-65D6-4322-AC4C-84B150F6C370}"/>
    <cellStyle name="Normal 5 2 2 3 3 2 2 3" xfId="11576" xr:uid="{9F1EE7F1-7101-4D15-984D-5F6677FB4BCB}"/>
    <cellStyle name="Normal 5 2 2 3 3 2 3" xfId="5207" xr:uid="{00000000-0005-0000-0000-0000C3170000}"/>
    <cellStyle name="Normal 5 2 2 3 3 2 3 2" xfId="13649" xr:uid="{F0B9BCAB-02D7-407D-B29C-699E8825324B}"/>
    <cellStyle name="Normal 5 2 2 3 3 2 4" xfId="9431" xr:uid="{BAEA17EB-414C-4CE9-9024-03141F9112ED}"/>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2 2 2" xfId="16207" xr:uid="{49CCEB48-A3C3-407C-85E2-18308D1FDC40}"/>
    <cellStyle name="Normal 5 2 2 3 3 3 2 3" xfId="11989" xr:uid="{A100B81F-2BEC-4F93-9787-264578763BA3}"/>
    <cellStyle name="Normal 5 2 2 3 3 3 3" xfId="5620" xr:uid="{00000000-0005-0000-0000-0000C7170000}"/>
    <cellStyle name="Normal 5 2 2 3 3 3 3 2" xfId="14062" xr:uid="{ED277F83-C213-42C7-A6F4-200BC7813928}"/>
    <cellStyle name="Normal 5 2 2 3 3 3 4" xfId="9844" xr:uid="{E49C13E6-AB54-450E-AF2A-E0F72EFA7C94}"/>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2 2 2" xfId="16620" xr:uid="{1FF27F1B-552F-478F-AD0F-E6B941235442}"/>
    <cellStyle name="Normal 5 2 2 3 3 4 2 3" xfId="12402" xr:uid="{B1304179-66EC-4FE0-8CFC-A0255BAFF205}"/>
    <cellStyle name="Normal 5 2 2 3 3 4 3" xfId="6033" xr:uid="{00000000-0005-0000-0000-0000CB170000}"/>
    <cellStyle name="Normal 5 2 2 3 3 4 3 2" xfId="14475" xr:uid="{C2421B08-279A-4F37-B624-59B8CF2C1AE0}"/>
    <cellStyle name="Normal 5 2 2 3 3 4 4" xfId="10257" xr:uid="{4C0BA626-873E-4345-9CEB-E840C554D7DA}"/>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2 2 2" xfId="17033" xr:uid="{BF40FF1D-E2B6-4FF9-857D-244B3ED5EA87}"/>
    <cellStyle name="Normal 5 2 2 3 3 5 2 3" xfId="12815" xr:uid="{74B933B6-BBD4-4B6A-A0C1-0B0B56917AAB}"/>
    <cellStyle name="Normal 5 2 2 3 3 5 3" xfId="6446" xr:uid="{00000000-0005-0000-0000-0000CF170000}"/>
    <cellStyle name="Normal 5 2 2 3 3 5 3 2" xfId="14888" xr:uid="{0409DBAC-05DB-4E2F-9FC2-B63FF274554C}"/>
    <cellStyle name="Normal 5 2 2 3 3 5 4" xfId="10670" xr:uid="{CA22B0AD-BA61-4B7A-8C02-9F6BD914784E}"/>
    <cellStyle name="Normal 5 2 2 3 3 6" xfId="2575" xr:uid="{00000000-0005-0000-0000-0000D0170000}"/>
    <cellStyle name="Normal 5 2 2 3 3 6 2" xfId="6859" xr:uid="{00000000-0005-0000-0000-0000D1170000}"/>
    <cellStyle name="Normal 5 2 2 3 3 6 2 2" xfId="15301" xr:uid="{06D3B36C-7FD8-49BD-B48F-3F058625C4EA}"/>
    <cellStyle name="Normal 5 2 2 3 3 6 3" xfId="11083" xr:uid="{7FE11C15-F5E6-4E63-8D98-EA53F7C5F81D}"/>
    <cellStyle name="Normal 5 2 2 3 3 7" xfId="4794" xr:uid="{00000000-0005-0000-0000-0000D2170000}"/>
    <cellStyle name="Normal 5 2 2 3 3 7 2" xfId="13236" xr:uid="{2A8C834E-06DE-439B-A5B2-696409A1A049}"/>
    <cellStyle name="Normal 5 2 2 3 3 8" xfId="9018" xr:uid="{98BB8028-1BD2-48E8-807E-6F17C240E187}"/>
    <cellStyle name="Normal 5 2 2 3 4" xfId="891" xr:uid="{00000000-0005-0000-0000-0000D3170000}"/>
    <cellStyle name="Normal 5 2 2 3 4 2" xfId="3126" xr:uid="{00000000-0005-0000-0000-0000D4170000}"/>
    <cellStyle name="Normal 5 2 2 3 4 2 2" xfId="7349" xr:uid="{00000000-0005-0000-0000-0000D5170000}"/>
    <cellStyle name="Normal 5 2 2 3 4 2 2 2" xfId="15791" xr:uid="{43BE651A-3C97-45BB-A7EE-F964A4BC0D28}"/>
    <cellStyle name="Normal 5 2 2 3 4 2 3" xfId="11573" xr:uid="{A5C2DDC1-F9B9-497B-B01C-E179F5EFED69}"/>
    <cellStyle name="Normal 5 2 2 3 4 3" xfId="5204" xr:uid="{00000000-0005-0000-0000-0000D6170000}"/>
    <cellStyle name="Normal 5 2 2 3 4 3 2" xfId="13646" xr:uid="{D941DDA0-D3DC-431E-B7E2-16A637903222}"/>
    <cellStyle name="Normal 5 2 2 3 4 4" xfId="9428" xr:uid="{7E69F269-646C-4AF5-9C10-4A57B9EE7F42}"/>
    <cellStyle name="Normal 5 2 2 3 5" xfId="1309" xr:uid="{00000000-0005-0000-0000-0000D7170000}"/>
    <cellStyle name="Normal 5 2 2 3 5 2" xfId="3539" xr:uid="{00000000-0005-0000-0000-0000D8170000}"/>
    <cellStyle name="Normal 5 2 2 3 5 2 2" xfId="7762" xr:uid="{00000000-0005-0000-0000-0000D9170000}"/>
    <cellStyle name="Normal 5 2 2 3 5 2 2 2" xfId="16204" xr:uid="{91A86A56-9701-4BE0-8763-6D5B49E98C66}"/>
    <cellStyle name="Normal 5 2 2 3 5 2 3" xfId="11986" xr:uid="{D09BB2EB-5648-45D3-BE25-AE0ECC46C5E6}"/>
    <cellStyle name="Normal 5 2 2 3 5 3" xfId="5617" xr:uid="{00000000-0005-0000-0000-0000DA170000}"/>
    <cellStyle name="Normal 5 2 2 3 5 3 2" xfId="14059" xr:uid="{E1988E80-9A0B-4211-8171-B9DAD42AAA62}"/>
    <cellStyle name="Normal 5 2 2 3 5 4" xfId="9841" xr:uid="{B2FEFF95-41DA-4AE7-968E-8298F96E33A5}"/>
    <cellStyle name="Normal 5 2 2 3 6" xfId="1722" xr:uid="{00000000-0005-0000-0000-0000DB170000}"/>
    <cellStyle name="Normal 5 2 2 3 6 2" xfId="3952" xr:uid="{00000000-0005-0000-0000-0000DC170000}"/>
    <cellStyle name="Normal 5 2 2 3 6 2 2" xfId="8175" xr:uid="{00000000-0005-0000-0000-0000DD170000}"/>
    <cellStyle name="Normal 5 2 2 3 6 2 2 2" xfId="16617" xr:uid="{E8AABA5F-D99A-4B0A-8E3A-F91DE87CB7B2}"/>
    <cellStyle name="Normal 5 2 2 3 6 2 3" xfId="12399" xr:uid="{44F69F3D-2A29-491D-A313-5791063A2F9A}"/>
    <cellStyle name="Normal 5 2 2 3 6 3" xfId="6030" xr:uid="{00000000-0005-0000-0000-0000DE170000}"/>
    <cellStyle name="Normal 5 2 2 3 6 3 2" xfId="14472" xr:uid="{4C23A55F-354D-4D24-83CE-2E108DFB5347}"/>
    <cellStyle name="Normal 5 2 2 3 6 4" xfId="10254" xr:uid="{E3D8FA4C-DE77-4E56-89D6-AD9C05932F4D}"/>
    <cellStyle name="Normal 5 2 2 3 7" xfId="2136" xr:uid="{00000000-0005-0000-0000-0000DF170000}"/>
    <cellStyle name="Normal 5 2 2 3 7 2" xfId="4365" xr:uid="{00000000-0005-0000-0000-0000E0170000}"/>
    <cellStyle name="Normal 5 2 2 3 7 2 2" xfId="8588" xr:uid="{00000000-0005-0000-0000-0000E1170000}"/>
    <cellStyle name="Normal 5 2 2 3 7 2 2 2" xfId="17030" xr:uid="{28741B60-E3FD-4F29-9771-FA999679C7FC}"/>
    <cellStyle name="Normal 5 2 2 3 7 2 3" xfId="12812" xr:uid="{6ECBC2A3-9777-4471-990E-8ECB6944E967}"/>
    <cellStyle name="Normal 5 2 2 3 7 3" xfId="6443" xr:uid="{00000000-0005-0000-0000-0000E2170000}"/>
    <cellStyle name="Normal 5 2 2 3 7 3 2" xfId="14885" xr:uid="{B83AB94F-AFFF-4251-86E0-29472418F958}"/>
    <cellStyle name="Normal 5 2 2 3 7 4" xfId="10667" xr:uid="{167F7E03-0F2E-43EF-844B-0C4CB249CA9C}"/>
    <cellStyle name="Normal 5 2 2 3 8" xfId="2572" xr:uid="{00000000-0005-0000-0000-0000E3170000}"/>
    <cellStyle name="Normal 5 2 2 3 8 2" xfId="6856" xr:uid="{00000000-0005-0000-0000-0000E4170000}"/>
    <cellStyle name="Normal 5 2 2 3 8 2 2" xfId="15298" xr:uid="{CB4D473F-B410-491A-ADC1-34E569A41D09}"/>
    <cellStyle name="Normal 5 2 2 3 8 3" xfId="11080" xr:uid="{DDB122E6-74DB-4945-8820-3A5E91C460EC}"/>
    <cellStyle name="Normal 5 2 2 3 9" xfId="4791" xr:uid="{00000000-0005-0000-0000-0000E5170000}"/>
    <cellStyle name="Normal 5 2 2 3 9 2" xfId="13233" xr:uid="{158ED017-63F3-4E99-9558-8E9575416ED9}"/>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2 2 2" xfId="15796" xr:uid="{2307C497-801F-4604-82A3-E3C03C37E1B9}"/>
    <cellStyle name="Normal 5 2 2 4 2 2 2 3" xfId="11578" xr:uid="{0D709EF1-5089-4282-A32D-DB47E2150BB4}"/>
    <cellStyle name="Normal 5 2 2 4 2 2 3" xfId="5209" xr:uid="{00000000-0005-0000-0000-0000EB170000}"/>
    <cellStyle name="Normal 5 2 2 4 2 2 3 2" xfId="13651" xr:uid="{8A89C6D9-B64B-40C0-9832-0836B3EE4805}"/>
    <cellStyle name="Normal 5 2 2 4 2 2 4" xfId="9433" xr:uid="{7622F6AC-3354-4905-A60B-07D7C472048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2 2 2" xfId="16209" xr:uid="{9B0A40B7-9FCE-403D-A10A-6F9E2F361B02}"/>
    <cellStyle name="Normal 5 2 2 4 2 3 2 3" xfId="11991" xr:uid="{16253C85-BA9E-48E9-8E16-C18DB71FBD14}"/>
    <cellStyle name="Normal 5 2 2 4 2 3 3" xfId="5622" xr:uid="{00000000-0005-0000-0000-0000EF170000}"/>
    <cellStyle name="Normal 5 2 2 4 2 3 3 2" xfId="14064" xr:uid="{A6B87C97-C060-4168-8227-EF62D87AC64D}"/>
    <cellStyle name="Normal 5 2 2 4 2 3 4" xfId="9846" xr:uid="{9AC614C1-1042-43FC-B3E8-EE5CDF638B1B}"/>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2 2 2" xfId="16622" xr:uid="{DAF8EB08-F062-43D0-B042-D11EBB3B2D57}"/>
    <cellStyle name="Normal 5 2 2 4 2 4 2 3" xfId="12404" xr:uid="{7B93C3E0-16E4-4746-93B1-6C8C46AD3351}"/>
    <cellStyle name="Normal 5 2 2 4 2 4 3" xfId="6035" xr:uid="{00000000-0005-0000-0000-0000F3170000}"/>
    <cellStyle name="Normal 5 2 2 4 2 4 3 2" xfId="14477" xr:uid="{B2C0CB61-0AB5-4ABC-B5AB-04868C90C5F1}"/>
    <cellStyle name="Normal 5 2 2 4 2 4 4" xfId="10259" xr:uid="{6DF006BB-275C-4B9C-8F65-371A0422BD6F}"/>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2 2 2" xfId="17035" xr:uid="{27C62B37-F01A-40E6-8C20-1565BED3CC5B}"/>
    <cellStyle name="Normal 5 2 2 4 2 5 2 3" xfId="12817" xr:uid="{A4ADABB4-4A66-4686-800E-3B5081E5BDFE}"/>
    <cellStyle name="Normal 5 2 2 4 2 5 3" xfId="6448" xr:uid="{00000000-0005-0000-0000-0000F7170000}"/>
    <cellStyle name="Normal 5 2 2 4 2 5 3 2" xfId="14890" xr:uid="{5E4DC29A-39F3-42AE-9EE4-065F618FC587}"/>
    <cellStyle name="Normal 5 2 2 4 2 5 4" xfId="10672" xr:uid="{39DFE813-A290-4620-BDFE-6917D782AF1A}"/>
    <cellStyle name="Normal 5 2 2 4 2 6" xfId="2577" xr:uid="{00000000-0005-0000-0000-0000F8170000}"/>
    <cellStyle name="Normal 5 2 2 4 2 6 2" xfId="6861" xr:uid="{00000000-0005-0000-0000-0000F9170000}"/>
    <cellStyle name="Normal 5 2 2 4 2 6 2 2" xfId="15303" xr:uid="{033846B0-0DC9-4058-BA8E-DE159D4F8CA0}"/>
    <cellStyle name="Normal 5 2 2 4 2 6 3" xfId="11085" xr:uid="{A4E85426-A847-42DE-B240-E100B5D625D1}"/>
    <cellStyle name="Normal 5 2 2 4 2 7" xfId="4796" xr:uid="{00000000-0005-0000-0000-0000FA170000}"/>
    <cellStyle name="Normal 5 2 2 4 2 7 2" xfId="13238" xr:uid="{9CB5F57E-2D9F-46A6-BE70-A53EE1F44452}"/>
    <cellStyle name="Normal 5 2 2 4 2 8" xfId="9020" xr:uid="{562D7056-E4D0-4A2C-B13C-534C1A0DE8B3}"/>
    <cellStyle name="Normal 5 2 2 4 3" xfId="895" xr:uid="{00000000-0005-0000-0000-0000FB170000}"/>
    <cellStyle name="Normal 5 2 2 4 3 2" xfId="3130" xr:uid="{00000000-0005-0000-0000-0000FC170000}"/>
    <cellStyle name="Normal 5 2 2 4 3 2 2" xfId="7353" xr:uid="{00000000-0005-0000-0000-0000FD170000}"/>
    <cellStyle name="Normal 5 2 2 4 3 2 2 2" xfId="15795" xr:uid="{E92BACE2-64E1-4A95-8F23-FE7F0C2110E0}"/>
    <cellStyle name="Normal 5 2 2 4 3 2 3" xfId="11577" xr:uid="{292737E2-D007-4519-87C8-BC9FC0DB0FD0}"/>
    <cellStyle name="Normal 5 2 2 4 3 3" xfId="5208" xr:uid="{00000000-0005-0000-0000-0000FE170000}"/>
    <cellStyle name="Normal 5 2 2 4 3 3 2" xfId="13650" xr:uid="{FD63F947-1A57-483A-B3CC-5D12CD73D4AE}"/>
    <cellStyle name="Normal 5 2 2 4 3 4" xfId="9432" xr:uid="{740B2107-A7A9-4F32-BA14-2ACED3A04936}"/>
    <cellStyle name="Normal 5 2 2 4 4" xfId="1313" xr:uid="{00000000-0005-0000-0000-0000FF170000}"/>
    <cellStyle name="Normal 5 2 2 4 4 2" xfId="3543" xr:uid="{00000000-0005-0000-0000-000000180000}"/>
    <cellStyle name="Normal 5 2 2 4 4 2 2" xfId="7766" xr:uid="{00000000-0005-0000-0000-000001180000}"/>
    <cellStyle name="Normal 5 2 2 4 4 2 2 2" xfId="16208" xr:uid="{9756E253-BBC8-477C-B922-0057C1E31124}"/>
    <cellStyle name="Normal 5 2 2 4 4 2 3" xfId="11990" xr:uid="{16200664-437C-4E70-8200-38CE348EF988}"/>
    <cellStyle name="Normal 5 2 2 4 4 3" xfId="5621" xr:uid="{00000000-0005-0000-0000-000002180000}"/>
    <cellStyle name="Normal 5 2 2 4 4 3 2" xfId="14063" xr:uid="{E6808A1B-021F-4E1D-BD86-1B247508FFAE}"/>
    <cellStyle name="Normal 5 2 2 4 4 4" xfId="9845" xr:uid="{DD0A1970-72F2-4CD1-990C-68E9E2DE1DDD}"/>
    <cellStyle name="Normal 5 2 2 4 5" xfId="1726" xr:uid="{00000000-0005-0000-0000-000003180000}"/>
    <cellStyle name="Normal 5 2 2 4 5 2" xfId="3956" xr:uid="{00000000-0005-0000-0000-000004180000}"/>
    <cellStyle name="Normal 5 2 2 4 5 2 2" xfId="8179" xr:uid="{00000000-0005-0000-0000-000005180000}"/>
    <cellStyle name="Normal 5 2 2 4 5 2 2 2" xfId="16621" xr:uid="{DEC5ABC4-2AEE-4942-9747-CCD1F4154232}"/>
    <cellStyle name="Normal 5 2 2 4 5 2 3" xfId="12403" xr:uid="{F5F73304-C66A-43AD-86BD-D377C898734D}"/>
    <cellStyle name="Normal 5 2 2 4 5 3" xfId="6034" xr:uid="{00000000-0005-0000-0000-000006180000}"/>
    <cellStyle name="Normal 5 2 2 4 5 3 2" xfId="14476" xr:uid="{373732EC-BAA4-45CB-A163-E14E5CD33178}"/>
    <cellStyle name="Normal 5 2 2 4 5 4" xfId="10258" xr:uid="{289F6BCD-26C1-4C9C-B28A-EB12ACAC9559}"/>
    <cellStyle name="Normal 5 2 2 4 6" xfId="2140" xr:uid="{00000000-0005-0000-0000-000007180000}"/>
    <cellStyle name="Normal 5 2 2 4 6 2" xfId="4369" xr:uid="{00000000-0005-0000-0000-000008180000}"/>
    <cellStyle name="Normal 5 2 2 4 6 2 2" xfId="8592" xr:uid="{00000000-0005-0000-0000-000009180000}"/>
    <cellStyle name="Normal 5 2 2 4 6 2 2 2" xfId="17034" xr:uid="{399779B8-43B9-4B01-A540-4BF28D4AB076}"/>
    <cellStyle name="Normal 5 2 2 4 6 2 3" xfId="12816" xr:uid="{31F9F82E-3925-409F-818F-C8C313230412}"/>
    <cellStyle name="Normal 5 2 2 4 6 3" xfId="6447" xr:uid="{00000000-0005-0000-0000-00000A180000}"/>
    <cellStyle name="Normal 5 2 2 4 6 3 2" xfId="14889" xr:uid="{F313BD04-D083-4BCA-910C-D872D149CF74}"/>
    <cellStyle name="Normal 5 2 2 4 6 4" xfId="10671" xr:uid="{B5998BF3-4696-470A-BD52-B74E12D7BCC2}"/>
    <cellStyle name="Normal 5 2 2 4 7" xfId="2576" xr:uid="{00000000-0005-0000-0000-00000B180000}"/>
    <cellStyle name="Normal 5 2 2 4 7 2" xfId="6860" xr:uid="{00000000-0005-0000-0000-00000C180000}"/>
    <cellStyle name="Normal 5 2 2 4 7 2 2" xfId="15302" xr:uid="{519A2659-5CAB-43A9-9A1D-1C37CA38906B}"/>
    <cellStyle name="Normal 5 2 2 4 7 3" xfId="11084" xr:uid="{9466AA3B-EDD9-4D1D-8FE3-D64A94F7231C}"/>
    <cellStyle name="Normal 5 2 2 4 8" xfId="4795" xr:uid="{00000000-0005-0000-0000-00000D180000}"/>
    <cellStyle name="Normal 5 2 2 4 8 2" xfId="13237" xr:uid="{DF48C01F-CEBF-4108-927E-75BEA619CE15}"/>
    <cellStyle name="Normal 5 2 2 4 9" xfId="9019" xr:uid="{78919ADA-E9A4-4079-B168-BB476A2F20DB}"/>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2 2 2" xfId="15797" xr:uid="{804CD508-449E-4A4F-A223-D362D0C59989}"/>
    <cellStyle name="Normal 5 2 2 5 2 2 3" xfId="11579" xr:uid="{408A537F-166E-45F3-B39B-A12D40889751}"/>
    <cellStyle name="Normal 5 2 2 5 2 3" xfId="5210" xr:uid="{00000000-0005-0000-0000-000012180000}"/>
    <cellStyle name="Normal 5 2 2 5 2 3 2" xfId="13652" xr:uid="{60D18552-D748-42D0-B07B-E82CA71A0CF7}"/>
    <cellStyle name="Normal 5 2 2 5 2 4" xfId="9434" xr:uid="{AC10F572-BC60-4FBE-9EEC-47BA2D00086C}"/>
    <cellStyle name="Normal 5 2 2 5 3" xfId="1315" xr:uid="{00000000-0005-0000-0000-000013180000}"/>
    <cellStyle name="Normal 5 2 2 5 3 2" xfId="3545" xr:uid="{00000000-0005-0000-0000-000014180000}"/>
    <cellStyle name="Normal 5 2 2 5 3 2 2" xfId="7768" xr:uid="{00000000-0005-0000-0000-000015180000}"/>
    <cellStyle name="Normal 5 2 2 5 3 2 2 2" xfId="16210" xr:uid="{023EB8B4-E637-44A1-83B9-0A895C9A5D60}"/>
    <cellStyle name="Normal 5 2 2 5 3 2 3" xfId="11992" xr:uid="{35F6B93D-3EE4-456A-BF95-830C08CB1F01}"/>
    <cellStyle name="Normal 5 2 2 5 3 3" xfId="5623" xr:uid="{00000000-0005-0000-0000-000016180000}"/>
    <cellStyle name="Normal 5 2 2 5 3 3 2" xfId="14065" xr:uid="{FDFD2557-8DC2-4D32-BB28-7F2ABE87732C}"/>
    <cellStyle name="Normal 5 2 2 5 3 4" xfId="9847" xr:uid="{40353761-240D-4551-A2EB-DAB97F4660AB}"/>
    <cellStyle name="Normal 5 2 2 5 4" xfId="1728" xr:uid="{00000000-0005-0000-0000-000017180000}"/>
    <cellStyle name="Normal 5 2 2 5 4 2" xfId="3958" xr:uid="{00000000-0005-0000-0000-000018180000}"/>
    <cellStyle name="Normal 5 2 2 5 4 2 2" xfId="8181" xr:uid="{00000000-0005-0000-0000-000019180000}"/>
    <cellStyle name="Normal 5 2 2 5 4 2 2 2" xfId="16623" xr:uid="{C58C21C4-CE90-4E16-A228-8AEA5F50512E}"/>
    <cellStyle name="Normal 5 2 2 5 4 2 3" xfId="12405" xr:uid="{5651F2FA-06A0-4594-92F0-3C6DFCDB1946}"/>
    <cellStyle name="Normal 5 2 2 5 4 3" xfId="6036" xr:uid="{00000000-0005-0000-0000-00001A180000}"/>
    <cellStyle name="Normal 5 2 2 5 4 3 2" xfId="14478" xr:uid="{8B04C7A4-7024-4B2F-B538-0B089194E5E3}"/>
    <cellStyle name="Normal 5 2 2 5 4 4" xfId="10260" xr:uid="{CD12447D-F2C0-434D-8F9B-19A78DE2D7A1}"/>
    <cellStyle name="Normal 5 2 2 5 5" xfId="2142" xr:uid="{00000000-0005-0000-0000-00001B180000}"/>
    <cellStyle name="Normal 5 2 2 5 5 2" xfId="4371" xr:uid="{00000000-0005-0000-0000-00001C180000}"/>
    <cellStyle name="Normal 5 2 2 5 5 2 2" xfId="8594" xr:uid="{00000000-0005-0000-0000-00001D180000}"/>
    <cellStyle name="Normal 5 2 2 5 5 2 2 2" xfId="17036" xr:uid="{0E317310-0E36-4735-8ABF-BAA0C0EB3DD1}"/>
    <cellStyle name="Normal 5 2 2 5 5 2 3" xfId="12818" xr:uid="{6460DBDE-00CB-4863-B5BD-270A50FD7800}"/>
    <cellStyle name="Normal 5 2 2 5 5 3" xfId="6449" xr:uid="{00000000-0005-0000-0000-00001E180000}"/>
    <cellStyle name="Normal 5 2 2 5 5 3 2" xfId="14891" xr:uid="{15486756-D156-423B-9B5D-F1A1EAC5CB50}"/>
    <cellStyle name="Normal 5 2 2 5 5 4" xfId="10673" xr:uid="{A77FFBA3-A3AB-4684-A54C-7D45015B310D}"/>
    <cellStyle name="Normal 5 2 2 5 6" xfId="2578" xr:uid="{00000000-0005-0000-0000-00001F180000}"/>
    <cellStyle name="Normal 5 2 2 5 6 2" xfId="6862" xr:uid="{00000000-0005-0000-0000-000020180000}"/>
    <cellStyle name="Normal 5 2 2 5 6 2 2" xfId="15304" xr:uid="{F83CB6B1-467D-4940-A9AB-7374808C2C86}"/>
    <cellStyle name="Normal 5 2 2 5 6 3" xfId="11086" xr:uid="{E4BEDEBD-8A39-445A-B5A7-6022DCC3B050}"/>
    <cellStyle name="Normal 5 2 2 5 7" xfId="4797" xr:uid="{00000000-0005-0000-0000-000021180000}"/>
    <cellStyle name="Normal 5 2 2 5 7 2" xfId="13239" xr:uid="{0015BDA8-0C63-4CEC-ADC0-9858F1A298F0}"/>
    <cellStyle name="Normal 5 2 2 5 8" xfId="9021" xr:uid="{A6E37CE1-47E5-46A4-B50C-DD966CF025F6}"/>
    <cellStyle name="Normal 5 2 2 6" xfId="882" xr:uid="{00000000-0005-0000-0000-000022180000}"/>
    <cellStyle name="Normal 5 2 2 6 2" xfId="3117" xr:uid="{00000000-0005-0000-0000-000023180000}"/>
    <cellStyle name="Normal 5 2 2 6 2 2" xfId="7340" xr:uid="{00000000-0005-0000-0000-000024180000}"/>
    <cellStyle name="Normal 5 2 2 6 2 2 2" xfId="15782" xr:uid="{8562F929-D01A-4CEB-90B9-3B401770703C}"/>
    <cellStyle name="Normal 5 2 2 6 2 3" xfId="11564" xr:uid="{0CDD8BA2-FCC5-4C5C-AACA-A9E3D0BADD7C}"/>
    <cellStyle name="Normal 5 2 2 6 3" xfId="5195" xr:uid="{00000000-0005-0000-0000-000025180000}"/>
    <cellStyle name="Normal 5 2 2 6 3 2" xfId="13637" xr:uid="{2A957730-D6B0-4169-B2BB-B73B6F5DA3C0}"/>
    <cellStyle name="Normal 5 2 2 6 4" xfId="9419" xr:uid="{9B071CB0-F58D-4D01-8157-337413B32761}"/>
    <cellStyle name="Normal 5 2 2 7" xfId="1300" xr:uid="{00000000-0005-0000-0000-000026180000}"/>
    <cellStyle name="Normal 5 2 2 7 2" xfId="3530" xr:uid="{00000000-0005-0000-0000-000027180000}"/>
    <cellStyle name="Normal 5 2 2 7 2 2" xfId="7753" xr:uid="{00000000-0005-0000-0000-000028180000}"/>
    <cellStyle name="Normal 5 2 2 7 2 2 2" xfId="16195" xr:uid="{0D66623A-A327-4D3C-B623-A91250AB49D2}"/>
    <cellStyle name="Normal 5 2 2 7 2 3" xfId="11977" xr:uid="{7FBCE70D-F7D9-4B0C-B541-9E154F243634}"/>
    <cellStyle name="Normal 5 2 2 7 3" xfId="5608" xr:uid="{00000000-0005-0000-0000-000029180000}"/>
    <cellStyle name="Normal 5 2 2 7 3 2" xfId="14050" xr:uid="{DAF56A21-C80A-43D0-BBDF-48963C9CA2AF}"/>
    <cellStyle name="Normal 5 2 2 7 4" xfId="9832" xr:uid="{4D967122-FEA1-4D32-B35A-8809B0F91A2E}"/>
    <cellStyle name="Normal 5 2 2 8" xfId="1713" xr:uid="{00000000-0005-0000-0000-00002A180000}"/>
    <cellStyle name="Normal 5 2 2 8 2" xfId="3943" xr:uid="{00000000-0005-0000-0000-00002B180000}"/>
    <cellStyle name="Normal 5 2 2 8 2 2" xfId="8166" xr:uid="{00000000-0005-0000-0000-00002C180000}"/>
    <cellStyle name="Normal 5 2 2 8 2 2 2" xfId="16608" xr:uid="{780A059C-1984-4854-BCD6-9247827AAFBB}"/>
    <cellStyle name="Normal 5 2 2 8 2 3" xfId="12390" xr:uid="{7B58B349-34A0-4B5B-8055-007154490D60}"/>
    <cellStyle name="Normal 5 2 2 8 3" xfId="6021" xr:uid="{00000000-0005-0000-0000-00002D180000}"/>
    <cellStyle name="Normal 5 2 2 8 3 2" xfId="14463" xr:uid="{FC92A432-77A4-40D6-9FAF-DEB2FC7EA70A}"/>
    <cellStyle name="Normal 5 2 2 8 4" xfId="10245" xr:uid="{87F46654-BF06-4457-8A98-3CBAD121EBDC}"/>
    <cellStyle name="Normal 5 2 2 9" xfId="2127" xr:uid="{00000000-0005-0000-0000-00002E180000}"/>
    <cellStyle name="Normal 5 2 2 9 2" xfId="4356" xr:uid="{00000000-0005-0000-0000-00002F180000}"/>
    <cellStyle name="Normal 5 2 2 9 2 2" xfId="8579" xr:uid="{00000000-0005-0000-0000-000030180000}"/>
    <cellStyle name="Normal 5 2 2 9 2 2 2" xfId="17021" xr:uid="{BB353F9A-EDBB-4020-A58E-AB85A2031D93}"/>
    <cellStyle name="Normal 5 2 2 9 2 3" xfId="12803" xr:uid="{6AC05EB3-F374-40FC-893E-F4EF5B876278}"/>
    <cellStyle name="Normal 5 2 2 9 3" xfId="6434" xr:uid="{00000000-0005-0000-0000-000031180000}"/>
    <cellStyle name="Normal 5 2 2 9 3 2" xfId="14876" xr:uid="{6F7C007F-F60B-4901-BB96-87CBFBB3DAC6}"/>
    <cellStyle name="Normal 5 2 2 9 4" xfId="10658" xr:uid="{651853AE-5825-4F8B-8824-8B8EEB8CB0F7}"/>
    <cellStyle name="Normal 5 2 3" xfId="424" xr:uid="{00000000-0005-0000-0000-000032180000}"/>
    <cellStyle name="Normal 5 2 3 10" xfId="4798" xr:uid="{00000000-0005-0000-0000-000033180000}"/>
    <cellStyle name="Normal 5 2 3 10 2" xfId="13240" xr:uid="{942F7B74-8AA2-4A9A-A354-853F7FE21237}"/>
    <cellStyle name="Normal 5 2 3 11" xfId="9022" xr:uid="{D3441096-6C87-41D6-80E0-0A5A295C12FA}"/>
    <cellStyle name="Normal 5 2 3 2" xfId="425" xr:uid="{00000000-0005-0000-0000-000034180000}"/>
    <cellStyle name="Normal 5 2 3 2 10" xfId="9023" xr:uid="{C2355919-2BEC-433F-BE9C-5C0A4391A063}"/>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2 2 2" xfId="15801" xr:uid="{DBB10A49-346B-4C4E-904E-007348733DCF}"/>
    <cellStyle name="Normal 5 2 3 2 2 2 2 2 3" xfId="11583" xr:uid="{87B245CF-C779-46B8-BD0F-9724BF6D150B}"/>
    <cellStyle name="Normal 5 2 3 2 2 2 2 3" xfId="5214" xr:uid="{00000000-0005-0000-0000-00003A180000}"/>
    <cellStyle name="Normal 5 2 3 2 2 2 2 3 2" xfId="13656" xr:uid="{D425106C-DDE5-43E5-868B-4D0B10CEDC95}"/>
    <cellStyle name="Normal 5 2 3 2 2 2 2 4" xfId="9438" xr:uid="{20A572BC-19A1-4100-B4ED-935C21DAFDA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2 2 2" xfId="16214" xr:uid="{6B737941-931F-409D-9CB9-A37CABBF577F}"/>
    <cellStyle name="Normal 5 2 3 2 2 2 3 2 3" xfId="11996" xr:uid="{2175F921-9DBD-4DCA-93C9-4AB7C23580A6}"/>
    <cellStyle name="Normal 5 2 3 2 2 2 3 3" xfId="5627" xr:uid="{00000000-0005-0000-0000-00003E180000}"/>
    <cellStyle name="Normal 5 2 3 2 2 2 3 3 2" xfId="14069" xr:uid="{667A0A27-3FBF-441F-98BF-E15182B59674}"/>
    <cellStyle name="Normal 5 2 3 2 2 2 3 4" xfId="9851" xr:uid="{EFD05D53-A20B-4D13-B224-082350784B85}"/>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2 2 2" xfId="16627" xr:uid="{87C4DA3F-1773-42CD-BB0A-D80C4154182F}"/>
    <cellStyle name="Normal 5 2 3 2 2 2 4 2 3" xfId="12409" xr:uid="{656BB409-6371-4440-9318-A11B7B0B8BA6}"/>
    <cellStyle name="Normal 5 2 3 2 2 2 4 3" xfId="6040" xr:uid="{00000000-0005-0000-0000-000042180000}"/>
    <cellStyle name="Normal 5 2 3 2 2 2 4 3 2" xfId="14482" xr:uid="{7F5E315E-BE2E-4E02-B5D9-B4EDD36B2A49}"/>
    <cellStyle name="Normal 5 2 3 2 2 2 4 4" xfId="10264" xr:uid="{35A59D6B-A024-413B-BBBC-756596CA5388}"/>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2 2 2" xfId="17040" xr:uid="{EEB01620-5459-4102-BE8A-85AC5C26DA11}"/>
    <cellStyle name="Normal 5 2 3 2 2 2 5 2 3" xfId="12822" xr:uid="{D59F2CBC-D24C-4D06-A3B4-D3ADABDDCE69}"/>
    <cellStyle name="Normal 5 2 3 2 2 2 5 3" xfId="6453" xr:uid="{00000000-0005-0000-0000-000046180000}"/>
    <cellStyle name="Normal 5 2 3 2 2 2 5 3 2" xfId="14895" xr:uid="{A630DA03-6659-4042-8F3A-F2515958F613}"/>
    <cellStyle name="Normal 5 2 3 2 2 2 5 4" xfId="10677" xr:uid="{68D3A43A-278D-4C79-B4CE-2005D89026A5}"/>
    <cellStyle name="Normal 5 2 3 2 2 2 6" xfId="2582" xr:uid="{00000000-0005-0000-0000-000047180000}"/>
    <cellStyle name="Normal 5 2 3 2 2 2 6 2" xfId="6866" xr:uid="{00000000-0005-0000-0000-000048180000}"/>
    <cellStyle name="Normal 5 2 3 2 2 2 6 2 2" xfId="15308" xr:uid="{CA95A04B-40AE-4DD0-9738-649CAE568B01}"/>
    <cellStyle name="Normal 5 2 3 2 2 2 6 3" xfId="11090" xr:uid="{09E4C844-3997-4477-A28D-3F6A0EDB620B}"/>
    <cellStyle name="Normal 5 2 3 2 2 2 7" xfId="4801" xr:uid="{00000000-0005-0000-0000-000049180000}"/>
    <cellStyle name="Normal 5 2 3 2 2 2 7 2" xfId="13243" xr:uid="{5424DEA8-6F65-45D3-91E5-9D5A581926C5}"/>
    <cellStyle name="Normal 5 2 3 2 2 2 8" xfId="9025" xr:uid="{B0FA8FB4-B5EB-4A1E-AD13-152C3BF4F407}"/>
    <cellStyle name="Normal 5 2 3 2 2 3" xfId="900" xr:uid="{00000000-0005-0000-0000-00004A180000}"/>
    <cellStyle name="Normal 5 2 3 2 2 3 2" xfId="3135" xr:uid="{00000000-0005-0000-0000-00004B180000}"/>
    <cellStyle name="Normal 5 2 3 2 2 3 2 2" xfId="7358" xr:uid="{00000000-0005-0000-0000-00004C180000}"/>
    <cellStyle name="Normal 5 2 3 2 2 3 2 2 2" xfId="15800" xr:uid="{72B0C093-E28C-4C38-AB36-CF316A52DA0F}"/>
    <cellStyle name="Normal 5 2 3 2 2 3 2 3" xfId="11582" xr:uid="{6411E185-6179-41DA-A1B7-FA2C4085D309}"/>
    <cellStyle name="Normal 5 2 3 2 2 3 3" xfId="5213" xr:uid="{00000000-0005-0000-0000-00004D180000}"/>
    <cellStyle name="Normal 5 2 3 2 2 3 3 2" xfId="13655" xr:uid="{064C97D8-CDC5-4D12-89F8-D364EA4E0F32}"/>
    <cellStyle name="Normal 5 2 3 2 2 3 4" xfId="9437" xr:uid="{72FF08A6-6C5C-4655-B4FC-1C88B0F05E41}"/>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2 2 2" xfId="16213" xr:uid="{33970D69-49F7-4808-AE87-A74C1B2EA169}"/>
    <cellStyle name="Normal 5 2 3 2 2 4 2 3" xfId="11995" xr:uid="{7A9F373A-1530-4469-B2A4-ED2CE84D6E39}"/>
    <cellStyle name="Normal 5 2 3 2 2 4 3" xfId="5626" xr:uid="{00000000-0005-0000-0000-000051180000}"/>
    <cellStyle name="Normal 5 2 3 2 2 4 3 2" xfId="14068" xr:uid="{A302186A-82B8-4D01-B068-B71DE5EA26E7}"/>
    <cellStyle name="Normal 5 2 3 2 2 4 4" xfId="9850" xr:uid="{FCBC76E8-604A-4A8D-8EE9-E359C2B02AD4}"/>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2 2 2" xfId="16626" xr:uid="{57369D01-ABA4-480E-9D81-407050AE8C46}"/>
    <cellStyle name="Normal 5 2 3 2 2 5 2 3" xfId="12408" xr:uid="{51143FF7-5D5A-42E7-9A8A-0011734B4499}"/>
    <cellStyle name="Normal 5 2 3 2 2 5 3" xfId="6039" xr:uid="{00000000-0005-0000-0000-000055180000}"/>
    <cellStyle name="Normal 5 2 3 2 2 5 3 2" xfId="14481" xr:uid="{E40EB42C-321A-42B2-869F-A9A70316FFB5}"/>
    <cellStyle name="Normal 5 2 3 2 2 5 4" xfId="10263" xr:uid="{1A6AFE38-09ED-41A9-89F9-36717FF96D44}"/>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2 2 2" xfId="17039" xr:uid="{D698DDE8-38FB-4241-95FC-9D0FD796D962}"/>
    <cellStyle name="Normal 5 2 3 2 2 6 2 3" xfId="12821" xr:uid="{05920D2A-4E3B-4544-BA01-1C15762507A2}"/>
    <cellStyle name="Normal 5 2 3 2 2 6 3" xfId="6452" xr:uid="{00000000-0005-0000-0000-000059180000}"/>
    <cellStyle name="Normal 5 2 3 2 2 6 3 2" xfId="14894" xr:uid="{73630ABA-A113-4512-BF18-FE4959436525}"/>
    <cellStyle name="Normal 5 2 3 2 2 6 4" xfId="10676" xr:uid="{49B42293-B6E6-479B-B553-7E49C631E6ED}"/>
    <cellStyle name="Normal 5 2 3 2 2 7" xfId="2581" xr:uid="{00000000-0005-0000-0000-00005A180000}"/>
    <cellStyle name="Normal 5 2 3 2 2 7 2" xfId="6865" xr:uid="{00000000-0005-0000-0000-00005B180000}"/>
    <cellStyle name="Normal 5 2 3 2 2 7 2 2" xfId="15307" xr:uid="{41E7E483-38B5-4EEC-9A3C-76FC7551C477}"/>
    <cellStyle name="Normal 5 2 3 2 2 7 3" xfId="11089" xr:uid="{F98206A7-DA8C-454F-94C2-390770F684EE}"/>
    <cellStyle name="Normal 5 2 3 2 2 8" xfId="4800" xr:uid="{00000000-0005-0000-0000-00005C180000}"/>
    <cellStyle name="Normal 5 2 3 2 2 8 2" xfId="13242" xr:uid="{796D5AB9-3492-4589-8460-69C00C9E184D}"/>
    <cellStyle name="Normal 5 2 3 2 2 9" xfId="9024" xr:uid="{51DFB5D8-BFE2-4F41-96FB-A5AED28B095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2 2 2" xfId="15802" xr:uid="{ED001DC9-7CC4-4ABF-8FD3-8A4168092FCE}"/>
    <cellStyle name="Normal 5 2 3 2 3 2 2 3" xfId="11584" xr:uid="{CB20C3B7-AC17-4382-87B6-5DAAB6E7602A}"/>
    <cellStyle name="Normal 5 2 3 2 3 2 3" xfId="5215" xr:uid="{00000000-0005-0000-0000-000061180000}"/>
    <cellStyle name="Normal 5 2 3 2 3 2 3 2" xfId="13657" xr:uid="{EBFBF956-F4FB-4CC0-8A7A-59433A67E430}"/>
    <cellStyle name="Normal 5 2 3 2 3 2 4" xfId="9439" xr:uid="{3F9BDC34-980D-4AA0-AA01-FC72A1271BDC}"/>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2 2 2" xfId="16215" xr:uid="{085342FB-9F8C-451F-B989-40C4B1BBB326}"/>
    <cellStyle name="Normal 5 2 3 2 3 3 2 3" xfId="11997" xr:uid="{98E9133E-375E-4EB5-B262-C183901132A7}"/>
    <cellStyle name="Normal 5 2 3 2 3 3 3" xfId="5628" xr:uid="{00000000-0005-0000-0000-000065180000}"/>
    <cellStyle name="Normal 5 2 3 2 3 3 3 2" xfId="14070" xr:uid="{3F8E5978-23E8-40A2-9955-655933A81350}"/>
    <cellStyle name="Normal 5 2 3 2 3 3 4" xfId="9852" xr:uid="{A3F40E6D-90E2-40DB-A468-FE0993AD5C62}"/>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2 2 2" xfId="16628" xr:uid="{CF4C0729-956D-4F8E-BC4E-CFFAA8CB1A04}"/>
    <cellStyle name="Normal 5 2 3 2 3 4 2 3" xfId="12410" xr:uid="{370201EE-57D6-4463-BEA8-74ECDEBC2C37}"/>
    <cellStyle name="Normal 5 2 3 2 3 4 3" xfId="6041" xr:uid="{00000000-0005-0000-0000-000069180000}"/>
    <cellStyle name="Normal 5 2 3 2 3 4 3 2" xfId="14483" xr:uid="{F9E85BBE-92FB-4E63-99F6-E165064ED781}"/>
    <cellStyle name="Normal 5 2 3 2 3 4 4" xfId="10265" xr:uid="{040BA015-8971-4DC1-87D7-03AA240FD251}"/>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2 2 2" xfId="17041" xr:uid="{AC258AB4-CB74-45B9-B32F-BDD6FED2C589}"/>
    <cellStyle name="Normal 5 2 3 2 3 5 2 3" xfId="12823" xr:uid="{BE07A656-5E2A-4F38-B976-D44E5107984B}"/>
    <cellStyle name="Normal 5 2 3 2 3 5 3" xfId="6454" xr:uid="{00000000-0005-0000-0000-00006D180000}"/>
    <cellStyle name="Normal 5 2 3 2 3 5 3 2" xfId="14896" xr:uid="{71D75F62-E982-4299-BC30-AC8FCDC910BD}"/>
    <cellStyle name="Normal 5 2 3 2 3 5 4" xfId="10678" xr:uid="{1C9BC79D-53BD-4D77-8AC3-17946F04A25E}"/>
    <cellStyle name="Normal 5 2 3 2 3 6" xfId="2583" xr:uid="{00000000-0005-0000-0000-00006E180000}"/>
    <cellStyle name="Normal 5 2 3 2 3 6 2" xfId="6867" xr:uid="{00000000-0005-0000-0000-00006F180000}"/>
    <cellStyle name="Normal 5 2 3 2 3 6 2 2" xfId="15309" xr:uid="{06F8A65A-2210-40D9-92CD-5CC98C533EE2}"/>
    <cellStyle name="Normal 5 2 3 2 3 6 3" xfId="11091" xr:uid="{189E8E17-C89E-433A-A19F-F2A63228B733}"/>
    <cellStyle name="Normal 5 2 3 2 3 7" xfId="4802" xr:uid="{00000000-0005-0000-0000-000070180000}"/>
    <cellStyle name="Normal 5 2 3 2 3 7 2" xfId="13244" xr:uid="{9A365571-8315-4B43-8F46-9BC633A3FB35}"/>
    <cellStyle name="Normal 5 2 3 2 3 8" xfId="9026" xr:uid="{9936B3B9-E66E-40C6-86EE-021F9BC5E4B5}"/>
    <cellStyle name="Normal 5 2 3 2 4" xfId="899" xr:uid="{00000000-0005-0000-0000-000071180000}"/>
    <cellStyle name="Normal 5 2 3 2 4 2" xfId="3134" xr:uid="{00000000-0005-0000-0000-000072180000}"/>
    <cellStyle name="Normal 5 2 3 2 4 2 2" xfId="7357" xr:uid="{00000000-0005-0000-0000-000073180000}"/>
    <cellStyle name="Normal 5 2 3 2 4 2 2 2" xfId="15799" xr:uid="{CAC0FE2F-AEA3-4A5E-9F94-78C5683E9CD5}"/>
    <cellStyle name="Normal 5 2 3 2 4 2 3" xfId="11581" xr:uid="{C20C293C-A427-4C6B-B7DB-E82FCA6C1F04}"/>
    <cellStyle name="Normal 5 2 3 2 4 3" xfId="5212" xr:uid="{00000000-0005-0000-0000-000074180000}"/>
    <cellStyle name="Normal 5 2 3 2 4 3 2" xfId="13654" xr:uid="{8108D187-6928-431D-A176-CBF5B630C0D4}"/>
    <cellStyle name="Normal 5 2 3 2 4 4" xfId="9436" xr:uid="{0FB5FCC0-90C4-4759-877A-BB302285781F}"/>
    <cellStyle name="Normal 5 2 3 2 5" xfId="1317" xr:uid="{00000000-0005-0000-0000-000075180000}"/>
    <cellStyle name="Normal 5 2 3 2 5 2" xfId="3547" xr:uid="{00000000-0005-0000-0000-000076180000}"/>
    <cellStyle name="Normal 5 2 3 2 5 2 2" xfId="7770" xr:uid="{00000000-0005-0000-0000-000077180000}"/>
    <cellStyle name="Normal 5 2 3 2 5 2 2 2" xfId="16212" xr:uid="{2D19EDBE-7CD2-422C-AE3C-9DFCB0AC5B17}"/>
    <cellStyle name="Normal 5 2 3 2 5 2 3" xfId="11994" xr:uid="{0DD23E79-5CA5-41F7-A03C-2671EF66C646}"/>
    <cellStyle name="Normal 5 2 3 2 5 3" xfId="5625" xr:uid="{00000000-0005-0000-0000-000078180000}"/>
    <cellStyle name="Normal 5 2 3 2 5 3 2" xfId="14067" xr:uid="{0031B082-F696-4A9D-BB97-FB2B2401A06A}"/>
    <cellStyle name="Normal 5 2 3 2 5 4" xfId="9849" xr:uid="{1085D55B-D1B0-4DB9-8939-7CDB4BE790D6}"/>
    <cellStyle name="Normal 5 2 3 2 6" xfId="1730" xr:uid="{00000000-0005-0000-0000-000079180000}"/>
    <cellStyle name="Normal 5 2 3 2 6 2" xfId="3960" xr:uid="{00000000-0005-0000-0000-00007A180000}"/>
    <cellStyle name="Normal 5 2 3 2 6 2 2" xfId="8183" xr:uid="{00000000-0005-0000-0000-00007B180000}"/>
    <cellStyle name="Normal 5 2 3 2 6 2 2 2" xfId="16625" xr:uid="{49CF18F4-3821-4B9C-B63B-A7DCB06D6E23}"/>
    <cellStyle name="Normal 5 2 3 2 6 2 3" xfId="12407" xr:uid="{C8C01477-BAEA-4C6E-B5C1-073A29111D69}"/>
    <cellStyle name="Normal 5 2 3 2 6 3" xfId="6038" xr:uid="{00000000-0005-0000-0000-00007C180000}"/>
    <cellStyle name="Normal 5 2 3 2 6 3 2" xfId="14480" xr:uid="{167C2B4D-EEFC-48AF-ADBD-343FED2AA4EA}"/>
    <cellStyle name="Normal 5 2 3 2 6 4" xfId="10262" xr:uid="{672BEEDC-27E6-4328-987C-A67E25985B18}"/>
    <cellStyle name="Normal 5 2 3 2 7" xfId="2144" xr:uid="{00000000-0005-0000-0000-00007D180000}"/>
    <cellStyle name="Normal 5 2 3 2 7 2" xfId="4373" xr:uid="{00000000-0005-0000-0000-00007E180000}"/>
    <cellStyle name="Normal 5 2 3 2 7 2 2" xfId="8596" xr:uid="{00000000-0005-0000-0000-00007F180000}"/>
    <cellStyle name="Normal 5 2 3 2 7 2 2 2" xfId="17038" xr:uid="{B6B68053-C5D1-4C40-A1C4-D289FFF25752}"/>
    <cellStyle name="Normal 5 2 3 2 7 2 3" xfId="12820" xr:uid="{A689B080-8F51-460B-AF23-C65A96A9AB7C}"/>
    <cellStyle name="Normal 5 2 3 2 7 3" xfId="6451" xr:uid="{00000000-0005-0000-0000-000080180000}"/>
    <cellStyle name="Normal 5 2 3 2 7 3 2" xfId="14893" xr:uid="{C98D7640-EEAD-459D-B404-D993DA2DE7FA}"/>
    <cellStyle name="Normal 5 2 3 2 7 4" xfId="10675" xr:uid="{1E8B7E0C-53B0-417F-B17C-276ACC32AA3E}"/>
    <cellStyle name="Normal 5 2 3 2 8" xfId="2580" xr:uid="{00000000-0005-0000-0000-000081180000}"/>
    <cellStyle name="Normal 5 2 3 2 8 2" xfId="6864" xr:uid="{00000000-0005-0000-0000-000082180000}"/>
    <cellStyle name="Normal 5 2 3 2 8 2 2" xfId="15306" xr:uid="{6B3B5FDE-364C-41BC-B829-733A09425C5C}"/>
    <cellStyle name="Normal 5 2 3 2 8 3" xfId="11088" xr:uid="{A0FFD29C-139F-4268-96E0-71FF6F8E6DDD}"/>
    <cellStyle name="Normal 5 2 3 2 9" xfId="4799" xr:uid="{00000000-0005-0000-0000-000083180000}"/>
    <cellStyle name="Normal 5 2 3 2 9 2" xfId="13241" xr:uid="{F1EA0A63-1676-4FFC-8D09-C88B9B9D4FEF}"/>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2 2 2" xfId="15804" xr:uid="{73A08A59-34B4-4DC1-A9FA-65DC0AEA16B7}"/>
    <cellStyle name="Normal 5 2 3 3 2 2 2 3" xfId="11586" xr:uid="{40C24FA5-D67D-4F6A-A8DB-7575180F9987}"/>
    <cellStyle name="Normal 5 2 3 3 2 2 3" xfId="5217" xr:uid="{00000000-0005-0000-0000-000089180000}"/>
    <cellStyle name="Normal 5 2 3 3 2 2 3 2" xfId="13659" xr:uid="{856AEF64-7540-4CA7-9807-A87DB5FC4A05}"/>
    <cellStyle name="Normal 5 2 3 3 2 2 4" xfId="9441" xr:uid="{A00E2EB8-2E93-4AC0-865D-030B57E297B8}"/>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2 2 2" xfId="16217" xr:uid="{D1C6E7B8-7ABF-466C-8B99-B59ADA5DBCC4}"/>
    <cellStyle name="Normal 5 2 3 3 2 3 2 3" xfId="11999" xr:uid="{562FABF9-D6C6-4BA7-BE9A-32AA78DB43B5}"/>
    <cellStyle name="Normal 5 2 3 3 2 3 3" xfId="5630" xr:uid="{00000000-0005-0000-0000-00008D180000}"/>
    <cellStyle name="Normal 5 2 3 3 2 3 3 2" xfId="14072" xr:uid="{A02B9C97-77E3-48FB-9554-0AE9055E17B4}"/>
    <cellStyle name="Normal 5 2 3 3 2 3 4" xfId="9854" xr:uid="{2380484D-D308-4561-937F-7BC30F645FB1}"/>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2 2 2" xfId="16630" xr:uid="{B065AC9A-CE4D-4EC6-A23B-2AB163CF744D}"/>
    <cellStyle name="Normal 5 2 3 3 2 4 2 3" xfId="12412" xr:uid="{9D79B951-98C7-4DB9-92A4-C38B5F5D0E3A}"/>
    <cellStyle name="Normal 5 2 3 3 2 4 3" xfId="6043" xr:uid="{00000000-0005-0000-0000-000091180000}"/>
    <cellStyle name="Normal 5 2 3 3 2 4 3 2" xfId="14485" xr:uid="{5164E84A-3E7C-43B0-9A37-A2692ABA9FAD}"/>
    <cellStyle name="Normal 5 2 3 3 2 4 4" xfId="10267" xr:uid="{EA81A816-E897-4E7B-8E7B-0BED5FED065A}"/>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2 2 2" xfId="17043" xr:uid="{4A6434BB-FA05-488E-9591-D92AD0D13315}"/>
    <cellStyle name="Normal 5 2 3 3 2 5 2 3" xfId="12825" xr:uid="{A7C09AD2-A7A1-4F2E-960E-0313B8A2DAB2}"/>
    <cellStyle name="Normal 5 2 3 3 2 5 3" xfId="6456" xr:uid="{00000000-0005-0000-0000-000095180000}"/>
    <cellStyle name="Normal 5 2 3 3 2 5 3 2" xfId="14898" xr:uid="{C7757173-B5A9-4727-A6E9-2A43F062955D}"/>
    <cellStyle name="Normal 5 2 3 3 2 5 4" xfId="10680" xr:uid="{59B7C2B9-E037-497F-9841-FA32BB5B8979}"/>
    <cellStyle name="Normal 5 2 3 3 2 6" xfId="2585" xr:uid="{00000000-0005-0000-0000-000096180000}"/>
    <cellStyle name="Normal 5 2 3 3 2 6 2" xfId="6869" xr:uid="{00000000-0005-0000-0000-000097180000}"/>
    <cellStyle name="Normal 5 2 3 3 2 6 2 2" xfId="15311" xr:uid="{F7E512FB-E00F-43DC-AAA0-7F948573C01A}"/>
    <cellStyle name="Normal 5 2 3 3 2 6 3" xfId="11093" xr:uid="{F24C56B2-687E-4F89-A4F9-888BD6A0741C}"/>
    <cellStyle name="Normal 5 2 3 3 2 7" xfId="4804" xr:uid="{00000000-0005-0000-0000-000098180000}"/>
    <cellStyle name="Normal 5 2 3 3 2 7 2" xfId="13246" xr:uid="{C705A0D0-D1F4-4695-9175-0F82D5D75FF4}"/>
    <cellStyle name="Normal 5 2 3 3 2 8" xfId="9028" xr:uid="{895B3A96-2FAB-4679-9884-4FC488FF0CFD}"/>
    <cellStyle name="Normal 5 2 3 3 3" xfId="903" xr:uid="{00000000-0005-0000-0000-000099180000}"/>
    <cellStyle name="Normal 5 2 3 3 3 2" xfId="3138" xr:uid="{00000000-0005-0000-0000-00009A180000}"/>
    <cellStyle name="Normal 5 2 3 3 3 2 2" xfId="7361" xr:uid="{00000000-0005-0000-0000-00009B180000}"/>
    <cellStyle name="Normal 5 2 3 3 3 2 2 2" xfId="15803" xr:uid="{83DC5ED2-2B32-406A-A8E0-D91B74728BB4}"/>
    <cellStyle name="Normal 5 2 3 3 3 2 3" xfId="11585" xr:uid="{A2090FCF-DE1D-44E7-BE8E-58E28CB8E183}"/>
    <cellStyle name="Normal 5 2 3 3 3 3" xfId="5216" xr:uid="{00000000-0005-0000-0000-00009C180000}"/>
    <cellStyle name="Normal 5 2 3 3 3 3 2" xfId="13658" xr:uid="{D90D303D-2E33-4DEF-84BC-15A38EB3DC41}"/>
    <cellStyle name="Normal 5 2 3 3 3 4" xfId="9440" xr:uid="{22E042EC-2798-4766-B835-8E32D47BEA27}"/>
    <cellStyle name="Normal 5 2 3 3 4" xfId="1321" xr:uid="{00000000-0005-0000-0000-00009D180000}"/>
    <cellStyle name="Normal 5 2 3 3 4 2" xfId="3551" xr:uid="{00000000-0005-0000-0000-00009E180000}"/>
    <cellStyle name="Normal 5 2 3 3 4 2 2" xfId="7774" xr:uid="{00000000-0005-0000-0000-00009F180000}"/>
    <cellStyle name="Normal 5 2 3 3 4 2 2 2" xfId="16216" xr:uid="{656F7B36-7DE1-452C-832F-FCC214208FBB}"/>
    <cellStyle name="Normal 5 2 3 3 4 2 3" xfId="11998" xr:uid="{A908147D-EAA0-432B-8FE9-3266A34E961D}"/>
    <cellStyle name="Normal 5 2 3 3 4 3" xfId="5629" xr:uid="{00000000-0005-0000-0000-0000A0180000}"/>
    <cellStyle name="Normal 5 2 3 3 4 3 2" xfId="14071" xr:uid="{ECA451FB-C2D7-47E2-8EB5-B6D1DEF4A9BD}"/>
    <cellStyle name="Normal 5 2 3 3 4 4" xfId="9853" xr:uid="{2716A786-C2D7-4951-A552-B26196524524}"/>
    <cellStyle name="Normal 5 2 3 3 5" xfId="1734" xr:uid="{00000000-0005-0000-0000-0000A1180000}"/>
    <cellStyle name="Normal 5 2 3 3 5 2" xfId="3964" xr:uid="{00000000-0005-0000-0000-0000A2180000}"/>
    <cellStyle name="Normal 5 2 3 3 5 2 2" xfId="8187" xr:uid="{00000000-0005-0000-0000-0000A3180000}"/>
    <cellStyle name="Normal 5 2 3 3 5 2 2 2" xfId="16629" xr:uid="{0199638F-D082-4D69-9B7C-E630511C4188}"/>
    <cellStyle name="Normal 5 2 3 3 5 2 3" xfId="12411" xr:uid="{B7A990C2-08D5-4195-B437-9B5A78BF4D15}"/>
    <cellStyle name="Normal 5 2 3 3 5 3" xfId="6042" xr:uid="{00000000-0005-0000-0000-0000A4180000}"/>
    <cellStyle name="Normal 5 2 3 3 5 3 2" xfId="14484" xr:uid="{7E92CED4-8558-499B-9237-963E03200F8F}"/>
    <cellStyle name="Normal 5 2 3 3 5 4" xfId="10266" xr:uid="{114E72E5-E75B-4A67-94E5-39B0B007D3B2}"/>
    <cellStyle name="Normal 5 2 3 3 6" xfId="2148" xr:uid="{00000000-0005-0000-0000-0000A5180000}"/>
    <cellStyle name="Normal 5 2 3 3 6 2" xfId="4377" xr:uid="{00000000-0005-0000-0000-0000A6180000}"/>
    <cellStyle name="Normal 5 2 3 3 6 2 2" xfId="8600" xr:uid="{00000000-0005-0000-0000-0000A7180000}"/>
    <cellStyle name="Normal 5 2 3 3 6 2 2 2" xfId="17042" xr:uid="{9430486F-213F-423D-B810-B622A7812006}"/>
    <cellStyle name="Normal 5 2 3 3 6 2 3" xfId="12824" xr:uid="{E60F3E51-C090-40FA-9F29-A7835C14B9A1}"/>
    <cellStyle name="Normal 5 2 3 3 6 3" xfId="6455" xr:uid="{00000000-0005-0000-0000-0000A8180000}"/>
    <cellStyle name="Normal 5 2 3 3 6 3 2" xfId="14897" xr:uid="{F8853C3D-C651-477E-B0C1-7C7A14858564}"/>
    <cellStyle name="Normal 5 2 3 3 6 4" xfId="10679" xr:uid="{0226ADA6-EC3A-431C-A0EC-13BD1A8B1E5A}"/>
    <cellStyle name="Normal 5 2 3 3 7" xfId="2584" xr:uid="{00000000-0005-0000-0000-0000A9180000}"/>
    <cellStyle name="Normal 5 2 3 3 7 2" xfId="6868" xr:uid="{00000000-0005-0000-0000-0000AA180000}"/>
    <cellStyle name="Normal 5 2 3 3 7 2 2" xfId="15310" xr:uid="{40957A39-2928-4D9D-9D53-B0A5024E5060}"/>
    <cellStyle name="Normal 5 2 3 3 7 3" xfId="11092" xr:uid="{ED5DDFEE-156C-4796-B869-C49B916B764D}"/>
    <cellStyle name="Normal 5 2 3 3 8" xfId="4803" xr:uid="{00000000-0005-0000-0000-0000AB180000}"/>
    <cellStyle name="Normal 5 2 3 3 8 2" xfId="13245" xr:uid="{9728532A-2ADF-4B81-A649-91F9821E4A8A}"/>
    <cellStyle name="Normal 5 2 3 3 9" xfId="9027" xr:uid="{6942CE6E-726F-4EF2-BFA4-B331AB8D889C}"/>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2 2 2" xfId="15805" xr:uid="{EBC07838-0671-4B33-93E3-0EE3AB48044C}"/>
    <cellStyle name="Normal 5 2 3 4 2 2 3" xfId="11587" xr:uid="{CF91D57B-917C-4B66-905F-42DABBEC0F80}"/>
    <cellStyle name="Normal 5 2 3 4 2 3" xfId="5218" xr:uid="{00000000-0005-0000-0000-0000B0180000}"/>
    <cellStyle name="Normal 5 2 3 4 2 3 2" xfId="13660" xr:uid="{E7325720-FFAA-4A50-8BAB-9E2D8AA6416C}"/>
    <cellStyle name="Normal 5 2 3 4 2 4" xfId="9442" xr:uid="{85B3E352-6302-482C-AB90-3F441BFA4320}"/>
    <cellStyle name="Normal 5 2 3 4 3" xfId="1323" xr:uid="{00000000-0005-0000-0000-0000B1180000}"/>
    <cellStyle name="Normal 5 2 3 4 3 2" xfId="3553" xr:uid="{00000000-0005-0000-0000-0000B2180000}"/>
    <cellStyle name="Normal 5 2 3 4 3 2 2" xfId="7776" xr:uid="{00000000-0005-0000-0000-0000B3180000}"/>
    <cellStyle name="Normal 5 2 3 4 3 2 2 2" xfId="16218" xr:uid="{585D1F4E-2495-4CF2-A28F-8B6C021085B0}"/>
    <cellStyle name="Normal 5 2 3 4 3 2 3" xfId="12000" xr:uid="{54EFEBDB-3B3A-43A9-8198-2B9DB68D44BC}"/>
    <cellStyle name="Normal 5 2 3 4 3 3" xfId="5631" xr:uid="{00000000-0005-0000-0000-0000B4180000}"/>
    <cellStyle name="Normal 5 2 3 4 3 3 2" xfId="14073" xr:uid="{42456BBC-EB60-41B5-A260-4EE5EB461979}"/>
    <cellStyle name="Normal 5 2 3 4 3 4" xfId="9855" xr:uid="{47B7A680-F8F5-48DC-888C-F75201C194BD}"/>
    <cellStyle name="Normal 5 2 3 4 4" xfId="1736" xr:uid="{00000000-0005-0000-0000-0000B5180000}"/>
    <cellStyle name="Normal 5 2 3 4 4 2" xfId="3966" xr:uid="{00000000-0005-0000-0000-0000B6180000}"/>
    <cellStyle name="Normal 5 2 3 4 4 2 2" xfId="8189" xr:uid="{00000000-0005-0000-0000-0000B7180000}"/>
    <cellStyle name="Normal 5 2 3 4 4 2 2 2" xfId="16631" xr:uid="{C207278A-CDCF-4000-B4F7-A4D7E1C9DDE4}"/>
    <cellStyle name="Normal 5 2 3 4 4 2 3" xfId="12413" xr:uid="{A05C5F2E-96C1-4122-8B84-F2335C042810}"/>
    <cellStyle name="Normal 5 2 3 4 4 3" xfId="6044" xr:uid="{00000000-0005-0000-0000-0000B8180000}"/>
    <cellStyle name="Normal 5 2 3 4 4 3 2" xfId="14486" xr:uid="{2A9DED36-BC55-4931-80F1-BFF1520E6A85}"/>
    <cellStyle name="Normal 5 2 3 4 4 4" xfId="10268" xr:uid="{B6A863B9-09D7-49AB-AA33-5BB60A08579D}"/>
    <cellStyle name="Normal 5 2 3 4 5" xfId="2150" xr:uid="{00000000-0005-0000-0000-0000B9180000}"/>
    <cellStyle name="Normal 5 2 3 4 5 2" xfId="4379" xr:uid="{00000000-0005-0000-0000-0000BA180000}"/>
    <cellStyle name="Normal 5 2 3 4 5 2 2" xfId="8602" xr:uid="{00000000-0005-0000-0000-0000BB180000}"/>
    <cellStyle name="Normal 5 2 3 4 5 2 2 2" xfId="17044" xr:uid="{B96B6965-35D6-4E2A-B1C9-33663A6BF3C1}"/>
    <cellStyle name="Normal 5 2 3 4 5 2 3" xfId="12826" xr:uid="{3C17A5F9-C331-40A0-8514-5DAF499AC1B3}"/>
    <cellStyle name="Normal 5 2 3 4 5 3" xfId="6457" xr:uid="{00000000-0005-0000-0000-0000BC180000}"/>
    <cellStyle name="Normal 5 2 3 4 5 3 2" xfId="14899" xr:uid="{9F592C27-5834-44CE-8D13-27C8715DEB29}"/>
    <cellStyle name="Normal 5 2 3 4 5 4" xfId="10681" xr:uid="{5751B498-C303-4F4B-9889-9A91A0BBA272}"/>
    <cellStyle name="Normal 5 2 3 4 6" xfId="2586" xr:uid="{00000000-0005-0000-0000-0000BD180000}"/>
    <cellStyle name="Normal 5 2 3 4 6 2" xfId="6870" xr:uid="{00000000-0005-0000-0000-0000BE180000}"/>
    <cellStyle name="Normal 5 2 3 4 6 2 2" xfId="15312" xr:uid="{7EF58AEF-6FE6-431C-863C-7D2853B74046}"/>
    <cellStyle name="Normal 5 2 3 4 6 3" xfId="11094" xr:uid="{26E6130C-8469-482A-A94D-DDCE48FAAF34}"/>
    <cellStyle name="Normal 5 2 3 4 7" xfId="4805" xr:uid="{00000000-0005-0000-0000-0000BF180000}"/>
    <cellStyle name="Normal 5 2 3 4 7 2" xfId="13247" xr:uid="{E119624B-3E4C-491B-99DF-FA20F90CF546}"/>
    <cellStyle name="Normal 5 2 3 4 8" xfId="9029" xr:uid="{5477C833-2339-4D1A-B456-FA4304258FFB}"/>
    <cellStyle name="Normal 5 2 3 5" xfId="898" xr:uid="{00000000-0005-0000-0000-0000C0180000}"/>
    <cellStyle name="Normal 5 2 3 5 2" xfId="3133" xr:uid="{00000000-0005-0000-0000-0000C1180000}"/>
    <cellStyle name="Normal 5 2 3 5 2 2" xfId="7356" xr:uid="{00000000-0005-0000-0000-0000C2180000}"/>
    <cellStyle name="Normal 5 2 3 5 2 2 2" xfId="15798" xr:uid="{7EE4D4D0-B683-4C27-AFAA-52C1CAEA56E8}"/>
    <cellStyle name="Normal 5 2 3 5 2 3" xfId="11580" xr:uid="{81B0CAD4-68C1-456B-91CC-295B4B9FF91E}"/>
    <cellStyle name="Normal 5 2 3 5 3" xfId="5211" xr:uid="{00000000-0005-0000-0000-0000C3180000}"/>
    <cellStyle name="Normal 5 2 3 5 3 2" xfId="13653" xr:uid="{B4DCD297-DDB4-458A-849A-C06F5971ACB7}"/>
    <cellStyle name="Normal 5 2 3 5 4" xfId="9435" xr:uid="{4DA75A80-88ED-4D52-BFA0-847A354269D4}"/>
    <cellStyle name="Normal 5 2 3 6" xfId="1316" xr:uid="{00000000-0005-0000-0000-0000C4180000}"/>
    <cellStyle name="Normal 5 2 3 6 2" xfId="3546" xr:uid="{00000000-0005-0000-0000-0000C5180000}"/>
    <cellStyle name="Normal 5 2 3 6 2 2" xfId="7769" xr:uid="{00000000-0005-0000-0000-0000C6180000}"/>
    <cellStyle name="Normal 5 2 3 6 2 2 2" xfId="16211" xr:uid="{B04019BF-C05C-48D2-A516-5A033EF8B3CD}"/>
    <cellStyle name="Normal 5 2 3 6 2 3" xfId="11993" xr:uid="{299D42B1-BAD9-456B-B2FD-24E4908135E9}"/>
    <cellStyle name="Normal 5 2 3 6 3" xfId="5624" xr:uid="{00000000-0005-0000-0000-0000C7180000}"/>
    <cellStyle name="Normal 5 2 3 6 3 2" xfId="14066" xr:uid="{1550CAFC-E933-47E1-A9B6-62DB71491E74}"/>
    <cellStyle name="Normal 5 2 3 6 4" xfId="9848" xr:uid="{4236A696-21C6-4AF6-B839-BA291471225D}"/>
    <cellStyle name="Normal 5 2 3 7" xfId="1729" xr:uid="{00000000-0005-0000-0000-0000C8180000}"/>
    <cellStyle name="Normal 5 2 3 7 2" xfId="3959" xr:uid="{00000000-0005-0000-0000-0000C9180000}"/>
    <cellStyle name="Normal 5 2 3 7 2 2" xfId="8182" xr:uid="{00000000-0005-0000-0000-0000CA180000}"/>
    <cellStyle name="Normal 5 2 3 7 2 2 2" xfId="16624" xr:uid="{E5F4C8AA-C05D-4E46-B8A1-B62D782E45D7}"/>
    <cellStyle name="Normal 5 2 3 7 2 3" xfId="12406" xr:uid="{8A0AE2BC-75BC-412C-A6D8-98C727D126B8}"/>
    <cellStyle name="Normal 5 2 3 7 3" xfId="6037" xr:uid="{00000000-0005-0000-0000-0000CB180000}"/>
    <cellStyle name="Normal 5 2 3 7 3 2" xfId="14479" xr:uid="{36122833-D27C-4C32-8CC6-486403347511}"/>
    <cellStyle name="Normal 5 2 3 7 4" xfId="10261" xr:uid="{43E6F819-8451-4B9C-BDCF-AA2F106BFD8F}"/>
    <cellStyle name="Normal 5 2 3 8" xfId="2143" xr:uid="{00000000-0005-0000-0000-0000CC180000}"/>
    <cellStyle name="Normal 5 2 3 8 2" xfId="4372" xr:uid="{00000000-0005-0000-0000-0000CD180000}"/>
    <cellStyle name="Normal 5 2 3 8 2 2" xfId="8595" xr:uid="{00000000-0005-0000-0000-0000CE180000}"/>
    <cellStyle name="Normal 5 2 3 8 2 2 2" xfId="17037" xr:uid="{38DFD289-42F5-43AD-95E8-B0E38DA2F605}"/>
    <cellStyle name="Normal 5 2 3 8 2 3" xfId="12819" xr:uid="{CC9DB0F3-0442-4C3E-B827-C81DFF1E938C}"/>
    <cellStyle name="Normal 5 2 3 8 3" xfId="6450" xr:uid="{00000000-0005-0000-0000-0000CF180000}"/>
    <cellStyle name="Normal 5 2 3 8 3 2" xfId="14892" xr:uid="{6C801C01-CAD1-49E5-917F-3DEA69BE6C7A}"/>
    <cellStyle name="Normal 5 2 3 8 4" xfId="10674" xr:uid="{1E748D32-04F2-4735-83FC-889BD4D94338}"/>
    <cellStyle name="Normal 5 2 3 9" xfId="2579" xr:uid="{00000000-0005-0000-0000-0000D0180000}"/>
    <cellStyle name="Normal 5 2 3 9 2" xfId="6863" xr:uid="{00000000-0005-0000-0000-0000D1180000}"/>
    <cellStyle name="Normal 5 2 3 9 2 2" xfId="15305" xr:uid="{C89A5ECE-E490-417E-BA25-21F44A597418}"/>
    <cellStyle name="Normal 5 2 3 9 3" xfId="11087" xr:uid="{B9B95F8A-64A1-45F9-9A67-42A0DD89389E}"/>
    <cellStyle name="Normal 5 2 4" xfId="432" xr:uid="{00000000-0005-0000-0000-0000D2180000}"/>
    <cellStyle name="Normal 5 2 4 10" xfId="9030" xr:uid="{B51989E7-15B9-4B42-8AAD-54FB5113B545}"/>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2 2 2" xfId="15808" xr:uid="{2B02C25F-0CC8-42C6-BCAF-E2331166EC82}"/>
    <cellStyle name="Normal 5 2 4 2 2 2 2 3" xfId="11590" xr:uid="{86B31933-55C1-4B05-9F6A-77399E6576A5}"/>
    <cellStyle name="Normal 5 2 4 2 2 2 3" xfId="5221" xr:uid="{00000000-0005-0000-0000-0000D8180000}"/>
    <cellStyle name="Normal 5 2 4 2 2 2 3 2" xfId="13663" xr:uid="{4A5879EE-9EC0-44F8-B6DE-A6FC47A57032}"/>
    <cellStyle name="Normal 5 2 4 2 2 2 4" xfId="9445" xr:uid="{906EBCC2-51D1-4018-BFD1-94B6C276A031}"/>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2 2 2" xfId="16221" xr:uid="{312CC932-1029-4F28-97E1-63531A935276}"/>
    <cellStyle name="Normal 5 2 4 2 2 3 2 3" xfId="12003" xr:uid="{9B8612BD-C82E-4179-9C4A-1D448A32CFF9}"/>
    <cellStyle name="Normal 5 2 4 2 2 3 3" xfId="5634" xr:uid="{00000000-0005-0000-0000-0000DC180000}"/>
    <cellStyle name="Normal 5 2 4 2 2 3 3 2" xfId="14076" xr:uid="{5A84C2CA-EBA3-40A7-B711-93278175FB19}"/>
    <cellStyle name="Normal 5 2 4 2 2 3 4" xfId="9858" xr:uid="{E418569B-519C-48A4-B654-23B2F76B7B1C}"/>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2 2 2" xfId="16634" xr:uid="{98C619F6-8C9F-4DE2-8E98-CAA49CAACCEA}"/>
    <cellStyle name="Normal 5 2 4 2 2 4 2 3" xfId="12416" xr:uid="{B6ED8A19-25A2-4A0D-929B-BA3F826FECEE}"/>
    <cellStyle name="Normal 5 2 4 2 2 4 3" xfId="6047" xr:uid="{00000000-0005-0000-0000-0000E0180000}"/>
    <cellStyle name="Normal 5 2 4 2 2 4 3 2" xfId="14489" xr:uid="{85372952-D956-4BF1-9CBB-AF4A57537D70}"/>
    <cellStyle name="Normal 5 2 4 2 2 4 4" xfId="10271" xr:uid="{7A4E9010-89F9-4319-8DD8-90D60ECED74C}"/>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2 2 2" xfId="17047" xr:uid="{57E94E2D-09E4-4C02-A460-9D74A6F0BCF2}"/>
    <cellStyle name="Normal 5 2 4 2 2 5 2 3" xfId="12829" xr:uid="{C3BCD97B-B01D-42C9-AA3F-6F0F862D2824}"/>
    <cellStyle name="Normal 5 2 4 2 2 5 3" xfId="6460" xr:uid="{00000000-0005-0000-0000-0000E4180000}"/>
    <cellStyle name="Normal 5 2 4 2 2 5 3 2" xfId="14902" xr:uid="{CD5B5CAD-3AB1-44BA-8CF1-6FBA2BB4EDA6}"/>
    <cellStyle name="Normal 5 2 4 2 2 5 4" xfId="10684" xr:uid="{AFD5DAE8-E1DF-4F35-9E6D-782A580EA5B9}"/>
    <cellStyle name="Normal 5 2 4 2 2 6" xfId="2589" xr:uid="{00000000-0005-0000-0000-0000E5180000}"/>
    <cellStyle name="Normal 5 2 4 2 2 6 2" xfId="6873" xr:uid="{00000000-0005-0000-0000-0000E6180000}"/>
    <cellStyle name="Normal 5 2 4 2 2 6 2 2" xfId="15315" xr:uid="{3282B9EA-CF15-46D8-87FD-7658F3DD54F1}"/>
    <cellStyle name="Normal 5 2 4 2 2 6 3" xfId="11097" xr:uid="{752F48AD-2888-4109-A08B-B2922D805A76}"/>
    <cellStyle name="Normal 5 2 4 2 2 7" xfId="4808" xr:uid="{00000000-0005-0000-0000-0000E7180000}"/>
    <cellStyle name="Normal 5 2 4 2 2 7 2" xfId="13250" xr:uid="{7E1A9B70-54C2-4980-8D98-4303F7489007}"/>
    <cellStyle name="Normal 5 2 4 2 2 8" xfId="9032" xr:uid="{028E2E58-EA27-4E6B-9B2D-C29ACD03AAFD}"/>
    <cellStyle name="Normal 5 2 4 2 3" xfId="907" xr:uid="{00000000-0005-0000-0000-0000E8180000}"/>
    <cellStyle name="Normal 5 2 4 2 3 2" xfId="3142" xr:uid="{00000000-0005-0000-0000-0000E9180000}"/>
    <cellStyle name="Normal 5 2 4 2 3 2 2" xfId="7365" xr:uid="{00000000-0005-0000-0000-0000EA180000}"/>
    <cellStyle name="Normal 5 2 4 2 3 2 2 2" xfId="15807" xr:uid="{407A74F4-8290-4CF3-ABEB-F7580F6817C1}"/>
    <cellStyle name="Normal 5 2 4 2 3 2 3" xfId="11589" xr:uid="{35534F2A-07EC-41A7-B249-6E3A5CFB6460}"/>
    <cellStyle name="Normal 5 2 4 2 3 3" xfId="5220" xr:uid="{00000000-0005-0000-0000-0000EB180000}"/>
    <cellStyle name="Normal 5 2 4 2 3 3 2" xfId="13662" xr:uid="{D0F49AD8-92F8-4881-AC95-A1A1626E58B8}"/>
    <cellStyle name="Normal 5 2 4 2 3 4" xfId="9444" xr:uid="{3ABD5058-50FD-4B8D-B18C-5A4FBACBF416}"/>
    <cellStyle name="Normal 5 2 4 2 4" xfId="1325" xr:uid="{00000000-0005-0000-0000-0000EC180000}"/>
    <cellStyle name="Normal 5 2 4 2 4 2" xfId="3555" xr:uid="{00000000-0005-0000-0000-0000ED180000}"/>
    <cellStyle name="Normal 5 2 4 2 4 2 2" xfId="7778" xr:uid="{00000000-0005-0000-0000-0000EE180000}"/>
    <cellStyle name="Normal 5 2 4 2 4 2 2 2" xfId="16220" xr:uid="{009337E0-B47D-4AC0-BB22-C752EC061512}"/>
    <cellStyle name="Normal 5 2 4 2 4 2 3" xfId="12002" xr:uid="{6D42634A-89C5-4A3D-BEB5-7B5E5E03F40E}"/>
    <cellStyle name="Normal 5 2 4 2 4 3" xfId="5633" xr:uid="{00000000-0005-0000-0000-0000EF180000}"/>
    <cellStyle name="Normal 5 2 4 2 4 3 2" xfId="14075" xr:uid="{AFDF2A81-CD29-4A26-AE46-3DEA5232E84E}"/>
    <cellStyle name="Normal 5 2 4 2 4 4" xfId="9857" xr:uid="{C9BAFECD-3D6E-469D-AFFB-4B7E1D10B180}"/>
    <cellStyle name="Normal 5 2 4 2 5" xfId="1738" xr:uid="{00000000-0005-0000-0000-0000F0180000}"/>
    <cellStyle name="Normal 5 2 4 2 5 2" xfId="3968" xr:uid="{00000000-0005-0000-0000-0000F1180000}"/>
    <cellStyle name="Normal 5 2 4 2 5 2 2" xfId="8191" xr:uid="{00000000-0005-0000-0000-0000F2180000}"/>
    <cellStyle name="Normal 5 2 4 2 5 2 2 2" xfId="16633" xr:uid="{45203B92-5942-4B59-B084-9DEFEEC725D3}"/>
    <cellStyle name="Normal 5 2 4 2 5 2 3" xfId="12415" xr:uid="{4083A4ED-B88B-4F44-8646-93DC29027B67}"/>
    <cellStyle name="Normal 5 2 4 2 5 3" xfId="6046" xr:uid="{00000000-0005-0000-0000-0000F3180000}"/>
    <cellStyle name="Normal 5 2 4 2 5 3 2" xfId="14488" xr:uid="{9DB50B91-F04F-4242-923F-6AA1FAF5ADE9}"/>
    <cellStyle name="Normal 5 2 4 2 5 4" xfId="10270" xr:uid="{D0F71B33-4993-40C1-9B5B-96975A7CD769}"/>
    <cellStyle name="Normal 5 2 4 2 6" xfId="2152" xr:uid="{00000000-0005-0000-0000-0000F4180000}"/>
    <cellStyle name="Normal 5 2 4 2 6 2" xfId="4381" xr:uid="{00000000-0005-0000-0000-0000F5180000}"/>
    <cellStyle name="Normal 5 2 4 2 6 2 2" xfId="8604" xr:uid="{00000000-0005-0000-0000-0000F6180000}"/>
    <cellStyle name="Normal 5 2 4 2 6 2 2 2" xfId="17046" xr:uid="{35CC7B8A-9B80-409E-BA1A-72E19C2A660A}"/>
    <cellStyle name="Normal 5 2 4 2 6 2 3" xfId="12828" xr:uid="{124D4358-BCEB-4758-AC1B-5F9FAA90B6E2}"/>
    <cellStyle name="Normal 5 2 4 2 6 3" xfId="6459" xr:uid="{00000000-0005-0000-0000-0000F7180000}"/>
    <cellStyle name="Normal 5 2 4 2 6 3 2" xfId="14901" xr:uid="{B5DC17D7-A2FB-4B3A-A144-50B4CD6EA8F9}"/>
    <cellStyle name="Normal 5 2 4 2 6 4" xfId="10683" xr:uid="{ED3B33B1-B15F-4013-B2DE-B4C954615E6F}"/>
    <cellStyle name="Normal 5 2 4 2 7" xfId="2588" xr:uid="{00000000-0005-0000-0000-0000F8180000}"/>
    <cellStyle name="Normal 5 2 4 2 7 2" xfId="6872" xr:uid="{00000000-0005-0000-0000-0000F9180000}"/>
    <cellStyle name="Normal 5 2 4 2 7 2 2" xfId="15314" xr:uid="{0771A6AE-D30A-43E9-8CE3-8C581BECAE57}"/>
    <cellStyle name="Normal 5 2 4 2 7 3" xfId="11096" xr:uid="{963E5046-BA82-4CAF-94C6-4E94EF26B58C}"/>
    <cellStyle name="Normal 5 2 4 2 8" xfId="4807" xr:uid="{00000000-0005-0000-0000-0000FA180000}"/>
    <cellStyle name="Normal 5 2 4 2 8 2" xfId="13249" xr:uid="{F5744AF8-8783-46A2-9FF8-7CA8C8EA7ACA}"/>
    <cellStyle name="Normal 5 2 4 2 9" xfId="9031" xr:uid="{7F473E66-6AD7-434B-9B15-F7C9C68DC30F}"/>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2 2 2" xfId="15809" xr:uid="{A8DAC87A-9CE9-4DCB-B883-A09D746232F6}"/>
    <cellStyle name="Normal 5 2 4 3 2 2 3" xfId="11591" xr:uid="{C20EB59F-8E98-4AB1-AD62-072A43E43B9E}"/>
    <cellStyle name="Normal 5 2 4 3 2 3" xfId="5222" xr:uid="{00000000-0005-0000-0000-0000FF180000}"/>
    <cellStyle name="Normal 5 2 4 3 2 3 2" xfId="13664" xr:uid="{B9ADE2C0-A39E-4719-97C5-C560619B5511}"/>
    <cellStyle name="Normal 5 2 4 3 2 4" xfId="9446" xr:uid="{BEAE2B2A-0AA7-4AE0-8D0A-6C5E87F0E38E}"/>
    <cellStyle name="Normal 5 2 4 3 3" xfId="1327" xr:uid="{00000000-0005-0000-0000-000000190000}"/>
    <cellStyle name="Normal 5 2 4 3 3 2" xfId="3557" xr:uid="{00000000-0005-0000-0000-000001190000}"/>
    <cellStyle name="Normal 5 2 4 3 3 2 2" xfId="7780" xr:uid="{00000000-0005-0000-0000-000002190000}"/>
    <cellStyle name="Normal 5 2 4 3 3 2 2 2" xfId="16222" xr:uid="{9E238A1D-00EF-4A7B-862F-7FF4FAAAF706}"/>
    <cellStyle name="Normal 5 2 4 3 3 2 3" xfId="12004" xr:uid="{9840B52A-C8B9-4E2D-B07C-B6A193394F2D}"/>
    <cellStyle name="Normal 5 2 4 3 3 3" xfId="5635" xr:uid="{00000000-0005-0000-0000-000003190000}"/>
    <cellStyle name="Normal 5 2 4 3 3 3 2" xfId="14077" xr:uid="{474223BA-E4DF-4B37-9F73-16856C5F1DEE}"/>
    <cellStyle name="Normal 5 2 4 3 3 4" xfId="9859" xr:uid="{795BC6A2-8730-4AC3-A432-08BC59A79128}"/>
    <cellStyle name="Normal 5 2 4 3 4" xfId="1740" xr:uid="{00000000-0005-0000-0000-000004190000}"/>
    <cellStyle name="Normal 5 2 4 3 4 2" xfId="3970" xr:uid="{00000000-0005-0000-0000-000005190000}"/>
    <cellStyle name="Normal 5 2 4 3 4 2 2" xfId="8193" xr:uid="{00000000-0005-0000-0000-000006190000}"/>
    <cellStyle name="Normal 5 2 4 3 4 2 2 2" xfId="16635" xr:uid="{70628D05-88EA-4A29-8115-1CBCDB8E8CDF}"/>
    <cellStyle name="Normal 5 2 4 3 4 2 3" xfId="12417" xr:uid="{B97ED992-A085-4FBF-B45B-E2A252D1C55F}"/>
    <cellStyle name="Normal 5 2 4 3 4 3" xfId="6048" xr:uid="{00000000-0005-0000-0000-000007190000}"/>
    <cellStyle name="Normal 5 2 4 3 4 3 2" xfId="14490" xr:uid="{5D8E0654-EBF9-445F-9D72-AA8265C7C8CA}"/>
    <cellStyle name="Normal 5 2 4 3 4 4" xfId="10272" xr:uid="{06D2FEAD-54D6-4C8B-A9E0-787FE59C23DC}"/>
    <cellStyle name="Normal 5 2 4 3 5" xfId="2154" xr:uid="{00000000-0005-0000-0000-000008190000}"/>
    <cellStyle name="Normal 5 2 4 3 5 2" xfId="4383" xr:uid="{00000000-0005-0000-0000-000009190000}"/>
    <cellStyle name="Normal 5 2 4 3 5 2 2" xfId="8606" xr:uid="{00000000-0005-0000-0000-00000A190000}"/>
    <cellStyle name="Normal 5 2 4 3 5 2 2 2" xfId="17048" xr:uid="{DF61728F-F1C5-4B30-BD62-AABE22782F59}"/>
    <cellStyle name="Normal 5 2 4 3 5 2 3" xfId="12830" xr:uid="{DA81A637-2BF6-4F31-B685-5C78859C1B95}"/>
    <cellStyle name="Normal 5 2 4 3 5 3" xfId="6461" xr:uid="{00000000-0005-0000-0000-00000B190000}"/>
    <cellStyle name="Normal 5 2 4 3 5 3 2" xfId="14903" xr:uid="{38807AC4-F458-477B-BD73-0292B8CC08B1}"/>
    <cellStyle name="Normal 5 2 4 3 5 4" xfId="10685" xr:uid="{3F3DBAC3-D914-432C-967E-F08162F6EA17}"/>
    <cellStyle name="Normal 5 2 4 3 6" xfId="2590" xr:uid="{00000000-0005-0000-0000-00000C190000}"/>
    <cellStyle name="Normal 5 2 4 3 6 2" xfId="6874" xr:uid="{00000000-0005-0000-0000-00000D190000}"/>
    <cellStyle name="Normal 5 2 4 3 6 2 2" xfId="15316" xr:uid="{21394202-8737-4401-B07D-40308A517B8E}"/>
    <cellStyle name="Normal 5 2 4 3 6 3" xfId="11098" xr:uid="{210262B1-1944-4FAD-AA25-5798BC90F6F9}"/>
    <cellStyle name="Normal 5 2 4 3 7" xfId="4809" xr:uid="{00000000-0005-0000-0000-00000E190000}"/>
    <cellStyle name="Normal 5 2 4 3 7 2" xfId="13251" xr:uid="{306488FB-E29F-4576-901C-4EA2B89FD2C1}"/>
    <cellStyle name="Normal 5 2 4 3 8" xfId="9033" xr:uid="{2BF6CD09-DE70-4E19-ACC3-86BE6B36C7CB}"/>
    <cellStyle name="Normal 5 2 4 4" xfId="906" xr:uid="{00000000-0005-0000-0000-00000F190000}"/>
    <cellStyle name="Normal 5 2 4 4 2" xfId="3141" xr:uid="{00000000-0005-0000-0000-000010190000}"/>
    <cellStyle name="Normal 5 2 4 4 2 2" xfId="7364" xr:uid="{00000000-0005-0000-0000-000011190000}"/>
    <cellStyle name="Normal 5 2 4 4 2 2 2" xfId="15806" xr:uid="{335A85AC-D55D-423E-8A04-802DFAEB44D5}"/>
    <cellStyle name="Normal 5 2 4 4 2 3" xfId="11588" xr:uid="{F9C2B075-9AE3-4561-84B3-BAC6C979143D}"/>
    <cellStyle name="Normal 5 2 4 4 3" xfId="5219" xr:uid="{00000000-0005-0000-0000-000012190000}"/>
    <cellStyle name="Normal 5 2 4 4 3 2" xfId="13661" xr:uid="{BD513C29-C577-4A38-9F99-A5E445865CBD}"/>
    <cellStyle name="Normal 5 2 4 4 4" xfId="9443" xr:uid="{FB5E1673-9485-4D7A-B482-795F13178C3D}"/>
    <cellStyle name="Normal 5 2 4 5" xfId="1324" xr:uid="{00000000-0005-0000-0000-000013190000}"/>
    <cellStyle name="Normal 5 2 4 5 2" xfId="3554" xr:uid="{00000000-0005-0000-0000-000014190000}"/>
    <cellStyle name="Normal 5 2 4 5 2 2" xfId="7777" xr:uid="{00000000-0005-0000-0000-000015190000}"/>
    <cellStyle name="Normal 5 2 4 5 2 2 2" xfId="16219" xr:uid="{E665FD7D-2426-46B8-A1B2-2E4B952F5414}"/>
    <cellStyle name="Normal 5 2 4 5 2 3" xfId="12001" xr:uid="{134FAA42-F277-4FEF-A7A7-3ED9B0B34D46}"/>
    <cellStyle name="Normal 5 2 4 5 3" xfId="5632" xr:uid="{00000000-0005-0000-0000-000016190000}"/>
    <cellStyle name="Normal 5 2 4 5 3 2" xfId="14074" xr:uid="{412712FF-03ED-4756-BC49-0C506FF4DDA5}"/>
    <cellStyle name="Normal 5 2 4 5 4" xfId="9856" xr:uid="{229AD5CF-4675-44FA-BC33-F8720425D9F9}"/>
    <cellStyle name="Normal 5 2 4 6" xfId="1737" xr:uid="{00000000-0005-0000-0000-000017190000}"/>
    <cellStyle name="Normal 5 2 4 6 2" xfId="3967" xr:uid="{00000000-0005-0000-0000-000018190000}"/>
    <cellStyle name="Normal 5 2 4 6 2 2" xfId="8190" xr:uid="{00000000-0005-0000-0000-000019190000}"/>
    <cellStyle name="Normal 5 2 4 6 2 2 2" xfId="16632" xr:uid="{35755685-6774-403E-8328-A3134F080B58}"/>
    <cellStyle name="Normal 5 2 4 6 2 3" xfId="12414" xr:uid="{0348DA71-B550-48BA-9CEF-EC9EBFA6F4DB}"/>
    <cellStyle name="Normal 5 2 4 6 3" xfId="6045" xr:uid="{00000000-0005-0000-0000-00001A190000}"/>
    <cellStyle name="Normal 5 2 4 6 3 2" xfId="14487" xr:uid="{A0AC85D4-C9A7-4FA6-AA6F-0410A773DB6C}"/>
    <cellStyle name="Normal 5 2 4 6 4" xfId="10269" xr:uid="{AF3D2C78-CA1D-402F-BF36-47C902276C6B}"/>
    <cellStyle name="Normal 5 2 4 7" xfId="2151" xr:uid="{00000000-0005-0000-0000-00001B190000}"/>
    <cellStyle name="Normal 5 2 4 7 2" xfId="4380" xr:uid="{00000000-0005-0000-0000-00001C190000}"/>
    <cellStyle name="Normal 5 2 4 7 2 2" xfId="8603" xr:uid="{00000000-0005-0000-0000-00001D190000}"/>
    <cellStyle name="Normal 5 2 4 7 2 2 2" xfId="17045" xr:uid="{528DB9D3-BD4E-42D6-97F7-B48A1444B0C1}"/>
    <cellStyle name="Normal 5 2 4 7 2 3" xfId="12827" xr:uid="{A3015CD6-4E6D-4755-A9CD-F04972C5B47B}"/>
    <cellStyle name="Normal 5 2 4 7 3" xfId="6458" xr:uid="{00000000-0005-0000-0000-00001E190000}"/>
    <cellStyle name="Normal 5 2 4 7 3 2" xfId="14900" xr:uid="{4DE33E5E-F27E-4B8E-80E3-E28FD3B9FB41}"/>
    <cellStyle name="Normal 5 2 4 7 4" xfId="10682" xr:uid="{468301E1-8339-4819-BEA2-EE0A983E3616}"/>
    <cellStyle name="Normal 5 2 4 8" xfId="2587" xr:uid="{00000000-0005-0000-0000-00001F190000}"/>
    <cellStyle name="Normal 5 2 4 8 2" xfId="6871" xr:uid="{00000000-0005-0000-0000-000020190000}"/>
    <cellStyle name="Normal 5 2 4 8 2 2" xfId="15313" xr:uid="{9267E105-C75B-464C-BD2E-D1E755D0E1D5}"/>
    <cellStyle name="Normal 5 2 4 8 3" xfId="11095" xr:uid="{20212490-74A4-4829-8560-CE2B60330925}"/>
    <cellStyle name="Normal 5 2 4 9" xfId="4806" xr:uid="{00000000-0005-0000-0000-000021190000}"/>
    <cellStyle name="Normal 5 2 4 9 2" xfId="13248" xr:uid="{F6FCEDB1-EF80-4BFD-965A-7775491CEE75}"/>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2 2 2" xfId="15811" xr:uid="{2C1FE7F6-CAB9-4330-94C9-EB9144C0A0CB}"/>
    <cellStyle name="Normal 5 2 5 2 2 2 3" xfId="11593" xr:uid="{944C0EED-8839-4FDB-9E6E-A951BD6D56CB}"/>
    <cellStyle name="Normal 5 2 5 2 2 3" xfId="5224" xr:uid="{00000000-0005-0000-0000-000027190000}"/>
    <cellStyle name="Normal 5 2 5 2 2 3 2" xfId="13666" xr:uid="{B77C957E-9BBA-424A-8E39-3F936EE1AB7F}"/>
    <cellStyle name="Normal 5 2 5 2 2 4" xfId="9448" xr:uid="{733312A6-5EF0-4830-A747-95C1E4C0A03E}"/>
    <cellStyle name="Normal 5 2 5 2 3" xfId="1329" xr:uid="{00000000-0005-0000-0000-000028190000}"/>
    <cellStyle name="Normal 5 2 5 2 3 2" xfId="3559" xr:uid="{00000000-0005-0000-0000-000029190000}"/>
    <cellStyle name="Normal 5 2 5 2 3 2 2" xfId="7782" xr:uid="{00000000-0005-0000-0000-00002A190000}"/>
    <cellStyle name="Normal 5 2 5 2 3 2 2 2" xfId="16224" xr:uid="{880C1926-5F42-455D-9172-F6E026DD70E4}"/>
    <cellStyle name="Normal 5 2 5 2 3 2 3" xfId="12006" xr:uid="{E046BB8B-FB2E-439F-BABB-5D659D12F17F}"/>
    <cellStyle name="Normal 5 2 5 2 3 3" xfId="5637" xr:uid="{00000000-0005-0000-0000-00002B190000}"/>
    <cellStyle name="Normal 5 2 5 2 3 3 2" xfId="14079" xr:uid="{E9889691-BDF5-4CF1-BF93-741D54F69639}"/>
    <cellStyle name="Normal 5 2 5 2 3 4" xfId="9861" xr:uid="{E7A2FD44-2D07-48E0-936D-32E625C248D2}"/>
    <cellStyle name="Normal 5 2 5 2 4" xfId="1742" xr:uid="{00000000-0005-0000-0000-00002C190000}"/>
    <cellStyle name="Normal 5 2 5 2 4 2" xfId="3972" xr:uid="{00000000-0005-0000-0000-00002D190000}"/>
    <cellStyle name="Normal 5 2 5 2 4 2 2" xfId="8195" xr:uid="{00000000-0005-0000-0000-00002E190000}"/>
    <cellStyle name="Normal 5 2 5 2 4 2 2 2" xfId="16637" xr:uid="{1B46EAA4-38DA-47FA-B725-B56D2BD66307}"/>
    <cellStyle name="Normal 5 2 5 2 4 2 3" xfId="12419" xr:uid="{377CF520-B6ED-4C7F-A929-A968F68B7EC8}"/>
    <cellStyle name="Normal 5 2 5 2 4 3" xfId="6050" xr:uid="{00000000-0005-0000-0000-00002F190000}"/>
    <cellStyle name="Normal 5 2 5 2 4 3 2" xfId="14492" xr:uid="{EBE4CC5F-7C3E-446F-9FAD-8C83C6654987}"/>
    <cellStyle name="Normal 5 2 5 2 4 4" xfId="10274" xr:uid="{7D9E7742-DDA8-4B65-B7FA-092D60B195F1}"/>
    <cellStyle name="Normal 5 2 5 2 5" xfId="2156" xr:uid="{00000000-0005-0000-0000-000030190000}"/>
    <cellStyle name="Normal 5 2 5 2 5 2" xfId="4385" xr:uid="{00000000-0005-0000-0000-000031190000}"/>
    <cellStyle name="Normal 5 2 5 2 5 2 2" xfId="8608" xr:uid="{00000000-0005-0000-0000-000032190000}"/>
    <cellStyle name="Normal 5 2 5 2 5 2 2 2" xfId="17050" xr:uid="{47B748B9-A2BC-47EF-9FC1-B36913FF3F92}"/>
    <cellStyle name="Normal 5 2 5 2 5 2 3" xfId="12832" xr:uid="{3312747E-844A-435A-B6EF-81579CF7C762}"/>
    <cellStyle name="Normal 5 2 5 2 5 3" xfId="6463" xr:uid="{00000000-0005-0000-0000-000033190000}"/>
    <cellStyle name="Normal 5 2 5 2 5 3 2" xfId="14905" xr:uid="{3DA3B93D-F514-449F-AE5C-26C9EB6080FF}"/>
    <cellStyle name="Normal 5 2 5 2 5 4" xfId="10687" xr:uid="{3587EC4B-8BDA-40F3-B356-77C77B5A8F0C}"/>
    <cellStyle name="Normal 5 2 5 2 6" xfId="2592" xr:uid="{00000000-0005-0000-0000-000034190000}"/>
    <cellStyle name="Normal 5 2 5 2 6 2" xfId="6876" xr:uid="{00000000-0005-0000-0000-000035190000}"/>
    <cellStyle name="Normal 5 2 5 2 6 2 2" xfId="15318" xr:uid="{59EDAAFA-AA7B-42EA-AEBB-9EA47F2ED67F}"/>
    <cellStyle name="Normal 5 2 5 2 6 3" xfId="11100" xr:uid="{A8CE0E27-7B70-4CF3-A265-5CC2663FBE1E}"/>
    <cellStyle name="Normal 5 2 5 2 7" xfId="4811" xr:uid="{00000000-0005-0000-0000-000036190000}"/>
    <cellStyle name="Normal 5 2 5 2 7 2" xfId="13253" xr:uid="{44163F2F-9EFF-4650-ADA8-D3F15E34E0DF}"/>
    <cellStyle name="Normal 5 2 5 2 8" xfId="9035" xr:uid="{BF5C38FD-ECE8-4AE4-93EA-83AE5983DFD9}"/>
    <cellStyle name="Normal 5 2 5 3" xfId="910" xr:uid="{00000000-0005-0000-0000-000037190000}"/>
    <cellStyle name="Normal 5 2 5 3 2" xfId="3145" xr:uid="{00000000-0005-0000-0000-000038190000}"/>
    <cellStyle name="Normal 5 2 5 3 2 2" xfId="7368" xr:uid="{00000000-0005-0000-0000-000039190000}"/>
    <cellStyle name="Normal 5 2 5 3 2 2 2" xfId="15810" xr:uid="{A30A80E9-EA04-42ED-957B-7F252956B125}"/>
    <cellStyle name="Normal 5 2 5 3 2 3" xfId="11592" xr:uid="{C64070C7-8DAF-4F8B-8BAB-83E4DB0D6AE9}"/>
    <cellStyle name="Normal 5 2 5 3 3" xfId="5223" xr:uid="{00000000-0005-0000-0000-00003A190000}"/>
    <cellStyle name="Normal 5 2 5 3 3 2" xfId="13665" xr:uid="{5F9A4D54-EA8B-49F1-AE5E-EC3CC0E5FDB6}"/>
    <cellStyle name="Normal 5 2 5 3 4" xfId="9447" xr:uid="{60A7928F-9630-4C2E-AA3D-7220D0826B07}"/>
    <cellStyle name="Normal 5 2 5 4" xfId="1328" xr:uid="{00000000-0005-0000-0000-00003B190000}"/>
    <cellStyle name="Normal 5 2 5 4 2" xfId="3558" xr:uid="{00000000-0005-0000-0000-00003C190000}"/>
    <cellStyle name="Normal 5 2 5 4 2 2" xfId="7781" xr:uid="{00000000-0005-0000-0000-00003D190000}"/>
    <cellStyle name="Normal 5 2 5 4 2 2 2" xfId="16223" xr:uid="{3B323047-5AD5-4ED5-A4B3-14B5336F0173}"/>
    <cellStyle name="Normal 5 2 5 4 2 3" xfId="12005" xr:uid="{5A487FD1-9EDF-4784-8148-505CBA537D79}"/>
    <cellStyle name="Normal 5 2 5 4 3" xfId="5636" xr:uid="{00000000-0005-0000-0000-00003E190000}"/>
    <cellStyle name="Normal 5 2 5 4 3 2" xfId="14078" xr:uid="{30255FA9-85F4-418B-9177-5B1EF780EAC1}"/>
    <cellStyle name="Normal 5 2 5 4 4" xfId="9860" xr:uid="{B6072726-401A-4048-8823-10C0635D1E6F}"/>
    <cellStyle name="Normal 5 2 5 5" xfId="1741" xr:uid="{00000000-0005-0000-0000-00003F190000}"/>
    <cellStyle name="Normal 5 2 5 5 2" xfId="3971" xr:uid="{00000000-0005-0000-0000-000040190000}"/>
    <cellStyle name="Normal 5 2 5 5 2 2" xfId="8194" xr:uid="{00000000-0005-0000-0000-000041190000}"/>
    <cellStyle name="Normal 5 2 5 5 2 2 2" xfId="16636" xr:uid="{FBBECE56-C842-4C00-97D7-54121C68EDD2}"/>
    <cellStyle name="Normal 5 2 5 5 2 3" xfId="12418" xr:uid="{73F1AACA-11BC-427D-A957-A078E3851D25}"/>
    <cellStyle name="Normal 5 2 5 5 3" xfId="6049" xr:uid="{00000000-0005-0000-0000-000042190000}"/>
    <cellStyle name="Normal 5 2 5 5 3 2" xfId="14491" xr:uid="{7155EF27-6683-4875-AB08-5BE47AC7EAE4}"/>
    <cellStyle name="Normal 5 2 5 5 4" xfId="10273" xr:uid="{5CAF8F68-6425-4C74-959D-8EB9659449CB}"/>
    <cellStyle name="Normal 5 2 5 6" xfId="2155" xr:uid="{00000000-0005-0000-0000-000043190000}"/>
    <cellStyle name="Normal 5 2 5 6 2" xfId="4384" xr:uid="{00000000-0005-0000-0000-000044190000}"/>
    <cellStyle name="Normal 5 2 5 6 2 2" xfId="8607" xr:uid="{00000000-0005-0000-0000-000045190000}"/>
    <cellStyle name="Normal 5 2 5 6 2 2 2" xfId="17049" xr:uid="{0B2C2155-6B94-425D-88FC-0AB491DF01C7}"/>
    <cellStyle name="Normal 5 2 5 6 2 3" xfId="12831" xr:uid="{F99B102F-29E8-4D02-91CA-67C154CC5541}"/>
    <cellStyle name="Normal 5 2 5 6 3" xfId="6462" xr:uid="{00000000-0005-0000-0000-000046190000}"/>
    <cellStyle name="Normal 5 2 5 6 3 2" xfId="14904" xr:uid="{FDB478DB-4BF9-46C4-A89D-AF44A645DA73}"/>
    <cellStyle name="Normal 5 2 5 6 4" xfId="10686" xr:uid="{B7AA9B45-37AF-4A08-BFF3-52187D194102}"/>
    <cellStyle name="Normal 5 2 5 7" xfId="2591" xr:uid="{00000000-0005-0000-0000-000047190000}"/>
    <cellStyle name="Normal 5 2 5 7 2" xfId="6875" xr:uid="{00000000-0005-0000-0000-000048190000}"/>
    <cellStyle name="Normal 5 2 5 7 2 2" xfId="15317" xr:uid="{46E1739E-22F7-4116-928B-E2AE97CF5C3D}"/>
    <cellStyle name="Normal 5 2 5 7 3" xfId="11099" xr:uid="{0058974D-44F9-4FA3-B422-8B3E6B687868}"/>
    <cellStyle name="Normal 5 2 5 8" xfId="4810" xr:uid="{00000000-0005-0000-0000-000049190000}"/>
    <cellStyle name="Normal 5 2 5 8 2" xfId="13252" xr:uid="{BFD26AF6-CD14-4BD2-951C-2C1152F4508A}"/>
    <cellStyle name="Normal 5 2 5 9" xfId="9034" xr:uid="{C9F060A6-7972-49F3-82CE-541F323AFA2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2 2 2" xfId="15812" xr:uid="{571A6D1D-8A46-454D-9262-3407B96931C0}"/>
    <cellStyle name="Normal 5 2 6 2 2 3" xfId="11594" xr:uid="{FD1DA542-2DF6-44F7-8FD9-8F97279938B7}"/>
    <cellStyle name="Normal 5 2 6 2 3" xfId="5225" xr:uid="{00000000-0005-0000-0000-00004E190000}"/>
    <cellStyle name="Normal 5 2 6 2 3 2" xfId="13667" xr:uid="{CE7834D9-27E3-475C-A9F4-61A28B8487B7}"/>
    <cellStyle name="Normal 5 2 6 2 4" xfId="9449" xr:uid="{468CA574-AECC-46AD-A664-C75192030538}"/>
    <cellStyle name="Normal 5 2 6 3" xfId="1330" xr:uid="{00000000-0005-0000-0000-00004F190000}"/>
    <cellStyle name="Normal 5 2 6 3 2" xfId="3560" xr:uid="{00000000-0005-0000-0000-000050190000}"/>
    <cellStyle name="Normal 5 2 6 3 2 2" xfId="7783" xr:uid="{00000000-0005-0000-0000-000051190000}"/>
    <cellStyle name="Normal 5 2 6 3 2 2 2" xfId="16225" xr:uid="{E06EEB23-4999-4584-B3E7-BB5BE4AD20A2}"/>
    <cellStyle name="Normal 5 2 6 3 2 3" xfId="12007" xr:uid="{BD9378CD-6147-452D-9D55-641DB942D682}"/>
    <cellStyle name="Normal 5 2 6 3 3" xfId="5638" xr:uid="{00000000-0005-0000-0000-000052190000}"/>
    <cellStyle name="Normal 5 2 6 3 3 2" xfId="14080" xr:uid="{2984752C-87CC-45CF-8FB5-965237B7448F}"/>
    <cellStyle name="Normal 5 2 6 3 4" xfId="9862" xr:uid="{06B9DF45-2585-4A16-8C85-81560FE83FB1}"/>
    <cellStyle name="Normal 5 2 6 4" xfId="1743" xr:uid="{00000000-0005-0000-0000-000053190000}"/>
    <cellStyle name="Normal 5 2 6 4 2" xfId="3973" xr:uid="{00000000-0005-0000-0000-000054190000}"/>
    <cellStyle name="Normal 5 2 6 4 2 2" xfId="8196" xr:uid="{00000000-0005-0000-0000-000055190000}"/>
    <cellStyle name="Normal 5 2 6 4 2 2 2" xfId="16638" xr:uid="{AD46BC29-9996-46F9-9215-2D772AC33782}"/>
    <cellStyle name="Normal 5 2 6 4 2 3" xfId="12420" xr:uid="{A7473762-61D3-4E01-B9CD-F992A0ED6D99}"/>
    <cellStyle name="Normal 5 2 6 4 3" xfId="6051" xr:uid="{00000000-0005-0000-0000-000056190000}"/>
    <cellStyle name="Normal 5 2 6 4 3 2" xfId="14493" xr:uid="{483EFC69-50FD-422F-A493-9A7565FD09B6}"/>
    <cellStyle name="Normal 5 2 6 4 4" xfId="10275" xr:uid="{B12612BB-4EEA-4F02-8C16-EAE5DFB0720E}"/>
    <cellStyle name="Normal 5 2 6 5" xfId="2157" xr:uid="{00000000-0005-0000-0000-000057190000}"/>
    <cellStyle name="Normal 5 2 6 5 2" xfId="4386" xr:uid="{00000000-0005-0000-0000-000058190000}"/>
    <cellStyle name="Normal 5 2 6 5 2 2" xfId="8609" xr:uid="{00000000-0005-0000-0000-000059190000}"/>
    <cellStyle name="Normal 5 2 6 5 2 2 2" xfId="17051" xr:uid="{723E5B65-1378-4ACB-8763-C95702DF09D4}"/>
    <cellStyle name="Normal 5 2 6 5 2 3" xfId="12833" xr:uid="{ECCE849C-FAF4-4D12-B62D-07367F632CE3}"/>
    <cellStyle name="Normal 5 2 6 5 3" xfId="6464" xr:uid="{00000000-0005-0000-0000-00005A190000}"/>
    <cellStyle name="Normal 5 2 6 5 3 2" xfId="14906" xr:uid="{A6341076-5492-4813-B539-282D6C286B6B}"/>
    <cellStyle name="Normal 5 2 6 5 4" xfId="10688" xr:uid="{0880ED5F-DE4E-4713-A907-C1EC1044B583}"/>
    <cellStyle name="Normal 5 2 6 6" xfId="2593" xr:uid="{00000000-0005-0000-0000-00005B190000}"/>
    <cellStyle name="Normal 5 2 6 6 2" xfId="6877" xr:uid="{00000000-0005-0000-0000-00005C190000}"/>
    <cellStyle name="Normal 5 2 6 6 2 2" xfId="15319" xr:uid="{0E1E480A-C1B7-4D90-A0E9-B9D32963B83C}"/>
    <cellStyle name="Normal 5 2 6 6 3" xfId="11101" xr:uid="{A7745081-0220-4FC5-95D6-0D6013F0CFC9}"/>
    <cellStyle name="Normal 5 2 6 7" xfId="4812" xr:uid="{00000000-0005-0000-0000-00005D190000}"/>
    <cellStyle name="Normal 5 2 6 7 2" xfId="13254" xr:uid="{B86E8E4D-64B7-477F-9CD9-3875D6D2C722}"/>
    <cellStyle name="Normal 5 2 6 8" xfId="9036" xr:uid="{17737939-5DB0-44DE-8B93-79D33FF6C799}"/>
    <cellStyle name="Normal 5 2 7" xfId="881" xr:uid="{00000000-0005-0000-0000-00005E190000}"/>
    <cellStyle name="Normal 5 2 7 2" xfId="3116" xr:uid="{00000000-0005-0000-0000-00005F190000}"/>
    <cellStyle name="Normal 5 2 7 2 2" xfId="7339" xr:uid="{00000000-0005-0000-0000-000060190000}"/>
    <cellStyle name="Normal 5 2 7 2 2 2" xfId="15781" xr:uid="{80FFB0D6-C2BC-4FAD-B142-DCF4F1CF06DC}"/>
    <cellStyle name="Normal 5 2 7 2 3" xfId="11563" xr:uid="{BA4CBC7F-12FD-427D-A416-122BCC8E13A3}"/>
    <cellStyle name="Normal 5 2 7 3" xfId="5194" xr:uid="{00000000-0005-0000-0000-000061190000}"/>
    <cellStyle name="Normal 5 2 7 3 2" xfId="13636" xr:uid="{04EE8155-2BB2-4906-A0CF-45C1A70C2F12}"/>
    <cellStyle name="Normal 5 2 7 4" xfId="9418" xr:uid="{C162417C-5211-4FA3-8374-4900505EBCDE}"/>
    <cellStyle name="Normal 5 2 8" xfId="1299" xr:uid="{00000000-0005-0000-0000-000062190000}"/>
    <cellStyle name="Normal 5 2 8 2" xfId="3529" xr:uid="{00000000-0005-0000-0000-000063190000}"/>
    <cellStyle name="Normal 5 2 8 2 2" xfId="7752" xr:uid="{00000000-0005-0000-0000-000064190000}"/>
    <cellStyle name="Normal 5 2 8 2 2 2" xfId="16194" xr:uid="{917D463D-8802-41E3-B03E-130ECAC890CC}"/>
    <cellStyle name="Normal 5 2 8 2 3" xfId="11976" xr:uid="{09EFF555-621B-445C-9836-76CDC2DE2296}"/>
    <cellStyle name="Normal 5 2 8 3" xfId="5607" xr:uid="{00000000-0005-0000-0000-000065190000}"/>
    <cellStyle name="Normal 5 2 8 3 2" xfId="14049" xr:uid="{84F4083B-D818-4F06-80AC-A65A3C2264FE}"/>
    <cellStyle name="Normal 5 2 8 4" xfId="9831" xr:uid="{4558DC0E-4F5A-486C-A0D6-884A6C78BDEE}"/>
    <cellStyle name="Normal 5 2 9" xfId="1712" xr:uid="{00000000-0005-0000-0000-000066190000}"/>
    <cellStyle name="Normal 5 2 9 2" xfId="3942" xr:uid="{00000000-0005-0000-0000-000067190000}"/>
    <cellStyle name="Normal 5 2 9 2 2" xfId="8165" xr:uid="{00000000-0005-0000-0000-000068190000}"/>
    <cellStyle name="Normal 5 2 9 2 2 2" xfId="16607" xr:uid="{6AEFE99A-54F7-4015-AB87-B0FEA1E98450}"/>
    <cellStyle name="Normal 5 2 9 2 3" xfId="12389" xr:uid="{4C94104A-4A53-4E66-A277-57DA43FFCFEA}"/>
    <cellStyle name="Normal 5 2 9 3" xfId="6020" xr:uid="{00000000-0005-0000-0000-000069190000}"/>
    <cellStyle name="Normal 5 2 9 3 2" xfId="14462" xr:uid="{B840AE07-038F-42CF-8155-1CD7568FAB4D}"/>
    <cellStyle name="Normal 5 2 9 4" xfId="10244" xr:uid="{A870589F-177A-406F-A75B-CD397E23142D}"/>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2 2 2" xfId="17052" xr:uid="{4AA08C47-4E4B-4DE5-8D64-2A082D27F866}"/>
    <cellStyle name="Normal 5 3 10 2 3" xfId="12834" xr:uid="{4434EECB-117A-48F3-8F90-B959ABCAEEAD}"/>
    <cellStyle name="Normal 5 3 10 3" xfId="6465" xr:uid="{00000000-0005-0000-0000-00006E190000}"/>
    <cellStyle name="Normal 5 3 10 3 2" xfId="14907" xr:uid="{00B229FA-FA96-401E-803C-3F6CDDC079C4}"/>
    <cellStyle name="Normal 5 3 10 4" xfId="10689" xr:uid="{269DF9A8-F46B-4489-80C4-98D6F80E4473}"/>
    <cellStyle name="Normal 5 3 11" xfId="2594" xr:uid="{00000000-0005-0000-0000-00006F190000}"/>
    <cellStyle name="Normal 5 3 11 2" xfId="6878" xr:uid="{00000000-0005-0000-0000-000070190000}"/>
    <cellStyle name="Normal 5 3 11 2 2" xfId="15320" xr:uid="{F35AE664-7413-4D1B-958E-B62607267380}"/>
    <cellStyle name="Normal 5 3 11 3" xfId="11102" xr:uid="{C43E4835-90BC-4923-9DCD-50D6159271EA}"/>
    <cellStyle name="Normal 5 3 12" xfId="4813" xr:uid="{00000000-0005-0000-0000-000071190000}"/>
    <cellStyle name="Normal 5 3 12 2" xfId="13255" xr:uid="{BEB0A434-CDBC-4618-BAB3-6B2583982075}"/>
    <cellStyle name="Normal 5 3 13" xfId="9037" xr:uid="{DCF165D2-89A0-485E-A9DC-97ECE98A2D01}"/>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10 2" xfId="13256" xr:uid="{D57BFC65-1776-4E58-A6BE-4EA7DE9270A4}"/>
    <cellStyle name="Normal 5 3 3 11" xfId="9038" xr:uid="{FC0E5939-7F9C-4CF0-B2BC-CF15E94C380E}"/>
    <cellStyle name="Normal 5 3 3 2" xfId="442" xr:uid="{00000000-0005-0000-0000-000076190000}"/>
    <cellStyle name="Normal 5 3 3 2 10" xfId="9039" xr:uid="{44C39B4F-D80F-4521-83B5-EE74B498F9C6}"/>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2 2 2" xfId="15817" xr:uid="{B50A64A7-8E44-452C-855F-F32A5980CEBF}"/>
    <cellStyle name="Normal 5 3 3 2 2 2 2 2 3" xfId="11599" xr:uid="{1A07B641-E81E-4ED6-9922-5DCAD97E8682}"/>
    <cellStyle name="Normal 5 3 3 2 2 2 2 3" xfId="5230" xr:uid="{00000000-0005-0000-0000-00007C190000}"/>
    <cellStyle name="Normal 5 3 3 2 2 2 2 3 2" xfId="13672" xr:uid="{D7FB4A8D-1A4F-43C1-A8AC-C29CC78C159F}"/>
    <cellStyle name="Normal 5 3 3 2 2 2 2 4" xfId="9454" xr:uid="{EAF71C06-DEF1-41C0-B943-0247A6249276}"/>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2 2 2" xfId="16230" xr:uid="{DC8F62BF-29DC-402A-B7E7-108E53357609}"/>
    <cellStyle name="Normal 5 3 3 2 2 2 3 2 3" xfId="12012" xr:uid="{2654601D-4F95-412C-AE04-6607AA433F70}"/>
    <cellStyle name="Normal 5 3 3 2 2 2 3 3" xfId="5643" xr:uid="{00000000-0005-0000-0000-000080190000}"/>
    <cellStyle name="Normal 5 3 3 2 2 2 3 3 2" xfId="14085" xr:uid="{34CD197D-6895-48DC-A991-E39CFF820E8B}"/>
    <cellStyle name="Normal 5 3 3 2 2 2 3 4" xfId="9867" xr:uid="{EC35A47B-74D5-4F14-9306-96B81B4E3939}"/>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2 2 2" xfId="16643" xr:uid="{53C6BC93-88EA-460D-A896-AC091C1D517C}"/>
    <cellStyle name="Normal 5 3 3 2 2 2 4 2 3" xfId="12425" xr:uid="{728F5225-1A9D-44E2-9F6F-88C6705CE1B2}"/>
    <cellStyle name="Normal 5 3 3 2 2 2 4 3" xfId="6056" xr:uid="{00000000-0005-0000-0000-000084190000}"/>
    <cellStyle name="Normal 5 3 3 2 2 2 4 3 2" xfId="14498" xr:uid="{CB3EA301-9FE4-4767-8894-A688853ADD74}"/>
    <cellStyle name="Normal 5 3 3 2 2 2 4 4" xfId="10280" xr:uid="{54A0EADD-BD78-447F-B37B-6D35B75CCDC3}"/>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2 2 2" xfId="17056" xr:uid="{0D18C708-065A-4D6E-BB65-2BF44C3940F7}"/>
    <cellStyle name="Normal 5 3 3 2 2 2 5 2 3" xfId="12838" xr:uid="{29F79AEE-F423-43FB-9962-437BFF95E834}"/>
    <cellStyle name="Normal 5 3 3 2 2 2 5 3" xfId="6469" xr:uid="{00000000-0005-0000-0000-000088190000}"/>
    <cellStyle name="Normal 5 3 3 2 2 2 5 3 2" xfId="14911" xr:uid="{861589F7-032F-46C0-A10E-699211929185}"/>
    <cellStyle name="Normal 5 3 3 2 2 2 5 4" xfId="10693" xr:uid="{EE66A9DA-2D4B-4A82-BDE3-315C6FE167FB}"/>
    <cellStyle name="Normal 5 3 3 2 2 2 6" xfId="2598" xr:uid="{00000000-0005-0000-0000-000089190000}"/>
    <cellStyle name="Normal 5 3 3 2 2 2 6 2" xfId="6882" xr:uid="{00000000-0005-0000-0000-00008A190000}"/>
    <cellStyle name="Normal 5 3 3 2 2 2 6 2 2" xfId="15324" xr:uid="{B849BBBE-340F-4B9B-80CC-4E2F93071011}"/>
    <cellStyle name="Normal 5 3 3 2 2 2 6 3" xfId="11106" xr:uid="{9508A7B3-C766-45DC-B13F-3BF31BFC077C}"/>
    <cellStyle name="Normal 5 3 3 2 2 2 7" xfId="4817" xr:uid="{00000000-0005-0000-0000-00008B190000}"/>
    <cellStyle name="Normal 5 3 3 2 2 2 7 2" xfId="13259" xr:uid="{BD01A02C-BBA3-40E0-95A7-8D3B9BA0B453}"/>
    <cellStyle name="Normal 5 3 3 2 2 2 8" xfId="9041" xr:uid="{1E7D07BF-08F4-4105-AA4A-01D63216C052}"/>
    <cellStyle name="Normal 5 3 3 2 2 3" xfId="917" xr:uid="{00000000-0005-0000-0000-00008C190000}"/>
    <cellStyle name="Normal 5 3 3 2 2 3 2" xfId="3151" xr:uid="{00000000-0005-0000-0000-00008D190000}"/>
    <cellStyle name="Normal 5 3 3 2 2 3 2 2" xfId="7374" xr:uid="{00000000-0005-0000-0000-00008E190000}"/>
    <cellStyle name="Normal 5 3 3 2 2 3 2 2 2" xfId="15816" xr:uid="{5E5F1916-03A6-4C1E-8F32-7B69B1CB510C}"/>
    <cellStyle name="Normal 5 3 3 2 2 3 2 3" xfId="11598" xr:uid="{9E6A2169-0343-4897-9500-C80AD4E9CCF1}"/>
    <cellStyle name="Normal 5 3 3 2 2 3 3" xfId="5229" xr:uid="{00000000-0005-0000-0000-00008F190000}"/>
    <cellStyle name="Normal 5 3 3 2 2 3 3 2" xfId="13671" xr:uid="{BA5CC93A-512B-4893-90A1-16C7C71E06A2}"/>
    <cellStyle name="Normal 5 3 3 2 2 3 4" xfId="9453" xr:uid="{D40B96F7-ADD5-4970-8877-6E1894A97174}"/>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2 2 2" xfId="16229" xr:uid="{59A40426-CB0D-469F-BCD3-E0404B8120D0}"/>
    <cellStyle name="Normal 5 3 3 2 2 4 2 3" xfId="12011" xr:uid="{E169F3A0-B844-4D5F-A0BE-36FBD5A30F0E}"/>
    <cellStyle name="Normal 5 3 3 2 2 4 3" xfId="5642" xr:uid="{00000000-0005-0000-0000-000093190000}"/>
    <cellStyle name="Normal 5 3 3 2 2 4 3 2" xfId="14084" xr:uid="{3018A3B2-FD91-479F-B166-EC51A5B3363C}"/>
    <cellStyle name="Normal 5 3 3 2 2 4 4" xfId="9866" xr:uid="{D3A3F3C9-015D-431F-AF5A-23A4DC4AB706}"/>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2 2 2" xfId="16642" xr:uid="{F1F3589D-E507-47C0-892D-E4E2D4DA93A9}"/>
    <cellStyle name="Normal 5 3 3 2 2 5 2 3" xfId="12424" xr:uid="{197AA1C4-935A-4781-9B8F-06E1A8B4082F}"/>
    <cellStyle name="Normal 5 3 3 2 2 5 3" xfId="6055" xr:uid="{00000000-0005-0000-0000-000097190000}"/>
    <cellStyle name="Normal 5 3 3 2 2 5 3 2" xfId="14497" xr:uid="{117A6152-F19C-4647-8A08-EF60EAA176F8}"/>
    <cellStyle name="Normal 5 3 3 2 2 5 4" xfId="10279" xr:uid="{F7515219-B6EE-40E0-8F3D-8873AAB91CF6}"/>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2 2 2" xfId="17055" xr:uid="{A0167904-480D-4ED8-BA51-736F5E765E1F}"/>
    <cellStyle name="Normal 5 3 3 2 2 6 2 3" xfId="12837" xr:uid="{3DEBCD36-1B1D-4BD6-B70F-C3822249906A}"/>
    <cellStyle name="Normal 5 3 3 2 2 6 3" xfId="6468" xr:uid="{00000000-0005-0000-0000-00009B190000}"/>
    <cellStyle name="Normal 5 3 3 2 2 6 3 2" xfId="14910" xr:uid="{F74D7004-02CB-41BE-8108-BD21B1859B40}"/>
    <cellStyle name="Normal 5 3 3 2 2 6 4" xfId="10692" xr:uid="{0FC95A43-6632-4690-A43A-813B10BAFECA}"/>
    <cellStyle name="Normal 5 3 3 2 2 7" xfId="2597" xr:uid="{00000000-0005-0000-0000-00009C190000}"/>
    <cellStyle name="Normal 5 3 3 2 2 7 2" xfId="6881" xr:uid="{00000000-0005-0000-0000-00009D190000}"/>
    <cellStyle name="Normal 5 3 3 2 2 7 2 2" xfId="15323" xr:uid="{FCD34C23-6AB2-4B21-BB7C-241DAC9E9768}"/>
    <cellStyle name="Normal 5 3 3 2 2 7 3" xfId="11105" xr:uid="{0E756082-569B-424F-B7DD-717A8DF25BDD}"/>
    <cellStyle name="Normal 5 3 3 2 2 8" xfId="4816" xr:uid="{00000000-0005-0000-0000-00009E190000}"/>
    <cellStyle name="Normal 5 3 3 2 2 8 2" xfId="13258" xr:uid="{12FABC76-537D-45CD-803F-86DD226ED9E5}"/>
    <cellStyle name="Normal 5 3 3 2 2 9" xfId="9040" xr:uid="{E98798E4-5D78-417C-8E49-255D7CAEF83B}"/>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2 2 2" xfId="15818" xr:uid="{1C804040-0BB1-4CDC-986B-63A985B17303}"/>
    <cellStyle name="Normal 5 3 3 2 3 2 2 3" xfId="11600" xr:uid="{17E3F792-5EAF-4F42-959D-8C47718EAC30}"/>
    <cellStyle name="Normal 5 3 3 2 3 2 3" xfId="5231" xr:uid="{00000000-0005-0000-0000-0000A3190000}"/>
    <cellStyle name="Normal 5 3 3 2 3 2 3 2" xfId="13673" xr:uid="{DAC02C43-3525-45A3-A773-5E6CE1BC9F32}"/>
    <cellStyle name="Normal 5 3 3 2 3 2 4" xfId="9455" xr:uid="{3CE8E0BF-D820-4C20-ABFB-42EA17C7F6EE}"/>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2 2 2" xfId="16231" xr:uid="{E23BAD8E-83B7-4EDB-BC7F-7397A0A20246}"/>
    <cellStyle name="Normal 5 3 3 2 3 3 2 3" xfId="12013" xr:uid="{5F570976-D008-45BD-BE6F-3FAFA525AE00}"/>
    <cellStyle name="Normal 5 3 3 2 3 3 3" xfId="5644" xr:uid="{00000000-0005-0000-0000-0000A7190000}"/>
    <cellStyle name="Normal 5 3 3 2 3 3 3 2" xfId="14086" xr:uid="{EC9E4FD2-FDD7-4F29-9D57-CFAD8716D9B6}"/>
    <cellStyle name="Normal 5 3 3 2 3 3 4" xfId="9868" xr:uid="{EC6FB318-9D7D-49D8-BDD5-10A67A39A29E}"/>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2 2 2" xfId="16644" xr:uid="{36DA9777-F225-489E-8C2E-4BAED40F38EA}"/>
    <cellStyle name="Normal 5 3 3 2 3 4 2 3" xfId="12426" xr:uid="{5E4D5551-03DB-4CFB-B114-8D729B1DED93}"/>
    <cellStyle name="Normal 5 3 3 2 3 4 3" xfId="6057" xr:uid="{00000000-0005-0000-0000-0000AB190000}"/>
    <cellStyle name="Normal 5 3 3 2 3 4 3 2" xfId="14499" xr:uid="{2F5A21A6-E0F9-43B4-971C-0B067A755B8D}"/>
    <cellStyle name="Normal 5 3 3 2 3 4 4" xfId="10281" xr:uid="{B78C1D73-CF7A-4424-85D6-2BE8AFB93374}"/>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2 2 2" xfId="17057" xr:uid="{2BEFEA01-CE6D-4BA4-B57C-B3CE997D324A}"/>
    <cellStyle name="Normal 5 3 3 2 3 5 2 3" xfId="12839" xr:uid="{0027CABE-C085-4043-9CC4-BF2276DBE08C}"/>
    <cellStyle name="Normal 5 3 3 2 3 5 3" xfId="6470" xr:uid="{00000000-0005-0000-0000-0000AF190000}"/>
    <cellStyle name="Normal 5 3 3 2 3 5 3 2" xfId="14912" xr:uid="{27FDE02B-7A9C-4B16-9778-FE1F85781F80}"/>
    <cellStyle name="Normal 5 3 3 2 3 5 4" xfId="10694" xr:uid="{346F6E10-F248-45C4-AA20-92FD78B8AF4C}"/>
    <cellStyle name="Normal 5 3 3 2 3 6" xfId="2599" xr:uid="{00000000-0005-0000-0000-0000B0190000}"/>
    <cellStyle name="Normal 5 3 3 2 3 6 2" xfId="6883" xr:uid="{00000000-0005-0000-0000-0000B1190000}"/>
    <cellStyle name="Normal 5 3 3 2 3 6 2 2" xfId="15325" xr:uid="{4A875032-AF4E-4632-855E-DD271CA44133}"/>
    <cellStyle name="Normal 5 3 3 2 3 6 3" xfId="11107" xr:uid="{88E2C6C2-E365-42F5-BCB5-07534AAC38DA}"/>
    <cellStyle name="Normal 5 3 3 2 3 7" xfId="4818" xr:uid="{00000000-0005-0000-0000-0000B2190000}"/>
    <cellStyle name="Normal 5 3 3 2 3 7 2" xfId="13260" xr:uid="{AE489988-EF1C-4F13-907A-81C7FCF01010}"/>
    <cellStyle name="Normal 5 3 3 2 3 8" xfId="9042" xr:uid="{3FCC07BE-4E73-4D92-AD1B-CB32AC280CF9}"/>
    <cellStyle name="Normal 5 3 3 2 4" xfId="916" xr:uid="{00000000-0005-0000-0000-0000B3190000}"/>
    <cellStyle name="Normal 5 3 3 2 4 2" xfId="3150" xr:uid="{00000000-0005-0000-0000-0000B4190000}"/>
    <cellStyle name="Normal 5 3 3 2 4 2 2" xfId="7373" xr:uid="{00000000-0005-0000-0000-0000B5190000}"/>
    <cellStyle name="Normal 5 3 3 2 4 2 2 2" xfId="15815" xr:uid="{C3BC1A80-7A3D-4D8D-8650-3F5EAF2D3F1B}"/>
    <cellStyle name="Normal 5 3 3 2 4 2 3" xfId="11597" xr:uid="{865F30AA-1D07-4980-9A2F-5EAE3FC00BD2}"/>
    <cellStyle name="Normal 5 3 3 2 4 3" xfId="5228" xr:uid="{00000000-0005-0000-0000-0000B6190000}"/>
    <cellStyle name="Normal 5 3 3 2 4 3 2" xfId="13670" xr:uid="{239F8B71-2669-40B5-8794-92FB79289AC6}"/>
    <cellStyle name="Normal 5 3 3 2 4 4" xfId="9452" xr:uid="{E078CA43-0CAC-4A2D-B36C-DE82550C5DF2}"/>
    <cellStyle name="Normal 5 3 3 2 5" xfId="1333" xr:uid="{00000000-0005-0000-0000-0000B7190000}"/>
    <cellStyle name="Normal 5 3 3 2 5 2" xfId="3563" xr:uid="{00000000-0005-0000-0000-0000B8190000}"/>
    <cellStyle name="Normal 5 3 3 2 5 2 2" xfId="7786" xr:uid="{00000000-0005-0000-0000-0000B9190000}"/>
    <cellStyle name="Normal 5 3 3 2 5 2 2 2" xfId="16228" xr:uid="{A6249816-BDA0-4D79-9D5D-A9884BA4A618}"/>
    <cellStyle name="Normal 5 3 3 2 5 2 3" xfId="12010" xr:uid="{A0CDA20F-9808-405A-A6EC-61956967C74E}"/>
    <cellStyle name="Normal 5 3 3 2 5 3" xfId="5641" xr:uid="{00000000-0005-0000-0000-0000BA190000}"/>
    <cellStyle name="Normal 5 3 3 2 5 3 2" xfId="14083" xr:uid="{94FD2D34-E328-4295-96E7-1D3891AAB912}"/>
    <cellStyle name="Normal 5 3 3 2 5 4" xfId="9865" xr:uid="{6C376745-1ED3-43A6-8329-3A392A7552E1}"/>
    <cellStyle name="Normal 5 3 3 2 6" xfId="1746" xr:uid="{00000000-0005-0000-0000-0000BB190000}"/>
    <cellStyle name="Normal 5 3 3 2 6 2" xfId="3976" xr:uid="{00000000-0005-0000-0000-0000BC190000}"/>
    <cellStyle name="Normal 5 3 3 2 6 2 2" xfId="8199" xr:uid="{00000000-0005-0000-0000-0000BD190000}"/>
    <cellStyle name="Normal 5 3 3 2 6 2 2 2" xfId="16641" xr:uid="{41026FD4-99B3-4C5D-A0D6-97C48E914636}"/>
    <cellStyle name="Normal 5 3 3 2 6 2 3" xfId="12423" xr:uid="{F6C41E55-40C6-4C13-8A38-8B33C2408F8C}"/>
    <cellStyle name="Normal 5 3 3 2 6 3" xfId="6054" xr:uid="{00000000-0005-0000-0000-0000BE190000}"/>
    <cellStyle name="Normal 5 3 3 2 6 3 2" xfId="14496" xr:uid="{08B534D6-EF40-4835-A01F-532D8CA55EE3}"/>
    <cellStyle name="Normal 5 3 3 2 6 4" xfId="10278" xr:uid="{98EE7960-1435-4F3F-9B60-01818D7A4E33}"/>
    <cellStyle name="Normal 5 3 3 2 7" xfId="2160" xr:uid="{00000000-0005-0000-0000-0000BF190000}"/>
    <cellStyle name="Normal 5 3 3 2 7 2" xfId="4389" xr:uid="{00000000-0005-0000-0000-0000C0190000}"/>
    <cellStyle name="Normal 5 3 3 2 7 2 2" xfId="8612" xr:uid="{00000000-0005-0000-0000-0000C1190000}"/>
    <cellStyle name="Normal 5 3 3 2 7 2 2 2" xfId="17054" xr:uid="{8B0F09FA-C664-4B63-A45F-252095DB59C7}"/>
    <cellStyle name="Normal 5 3 3 2 7 2 3" xfId="12836" xr:uid="{13E334A3-2B7A-4FC8-BAA6-26E3046EFC81}"/>
    <cellStyle name="Normal 5 3 3 2 7 3" xfId="6467" xr:uid="{00000000-0005-0000-0000-0000C2190000}"/>
    <cellStyle name="Normal 5 3 3 2 7 3 2" xfId="14909" xr:uid="{DD58A345-C56D-4BE7-80D3-6F2EC00CEDDD}"/>
    <cellStyle name="Normal 5 3 3 2 7 4" xfId="10691" xr:uid="{6C7ECD87-3A58-4755-AC39-C5C671A39D48}"/>
    <cellStyle name="Normal 5 3 3 2 8" xfId="2596" xr:uid="{00000000-0005-0000-0000-0000C3190000}"/>
    <cellStyle name="Normal 5 3 3 2 8 2" xfId="6880" xr:uid="{00000000-0005-0000-0000-0000C4190000}"/>
    <cellStyle name="Normal 5 3 3 2 8 2 2" xfId="15322" xr:uid="{07791910-72EF-489F-A435-063736232266}"/>
    <cellStyle name="Normal 5 3 3 2 8 3" xfId="11104" xr:uid="{67D726B0-FD4B-427F-99F6-B0917C94FE02}"/>
    <cellStyle name="Normal 5 3 3 2 9" xfId="4815" xr:uid="{00000000-0005-0000-0000-0000C5190000}"/>
    <cellStyle name="Normal 5 3 3 2 9 2" xfId="13257" xr:uid="{3EA1C83F-8792-42F2-A86A-A6DD3BDA0984}"/>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2 2 2" xfId="15820" xr:uid="{C2307E1B-5E8D-4169-B123-1343C617E03F}"/>
    <cellStyle name="Normal 5 3 3 3 2 2 2 3" xfId="11602" xr:uid="{DC24ECEF-5ADD-432A-BB60-1E836A390326}"/>
    <cellStyle name="Normal 5 3 3 3 2 2 3" xfId="5233" xr:uid="{00000000-0005-0000-0000-0000CB190000}"/>
    <cellStyle name="Normal 5 3 3 3 2 2 3 2" xfId="13675" xr:uid="{24A3FDCD-550D-4DF3-B725-8743869F175A}"/>
    <cellStyle name="Normal 5 3 3 3 2 2 4" xfId="9457" xr:uid="{FEAA2EE0-DDC2-4CD4-A076-E2DEB73C444C}"/>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2 2 2" xfId="16233" xr:uid="{0ED94F64-45AB-40A1-99D4-55BE2D5AB346}"/>
    <cellStyle name="Normal 5 3 3 3 2 3 2 3" xfId="12015" xr:uid="{C8A900B2-A238-4656-8E95-B6DCD7C9FDF4}"/>
    <cellStyle name="Normal 5 3 3 3 2 3 3" xfId="5646" xr:uid="{00000000-0005-0000-0000-0000CF190000}"/>
    <cellStyle name="Normal 5 3 3 3 2 3 3 2" xfId="14088" xr:uid="{36C82172-C873-4E93-B2CD-BBEFC2610DA9}"/>
    <cellStyle name="Normal 5 3 3 3 2 3 4" xfId="9870" xr:uid="{6FE20BDE-8CF0-4CC9-A288-A4E5A71ED6D2}"/>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2 2 2" xfId="16646" xr:uid="{BFCB4A8A-71F5-4C74-BB8F-3BD683FEE9B8}"/>
    <cellStyle name="Normal 5 3 3 3 2 4 2 3" xfId="12428" xr:uid="{D95A8D7A-CC73-4D9B-95DF-7A6215F9EE94}"/>
    <cellStyle name="Normal 5 3 3 3 2 4 3" xfId="6059" xr:uid="{00000000-0005-0000-0000-0000D3190000}"/>
    <cellStyle name="Normal 5 3 3 3 2 4 3 2" xfId="14501" xr:uid="{64563C38-FEF8-4C1A-9952-F74C0967C2B6}"/>
    <cellStyle name="Normal 5 3 3 3 2 4 4" xfId="10283" xr:uid="{7BC8A485-259E-493B-A283-F5E370F3F353}"/>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2 2 2" xfId="17059" xr:uid="{921DFACC-0AB3-4E5D-8D07-BEAFCAA2D241}"/>
    <cellStyle name="Normal 5 3 3 3 2 5 2 3" xfId="12841" xr:uid="{08C61EFF-C02B-40B3-8FEE-2AF138D80A10}"/>
    <cellStyle name="Normal 5 3 3 3 2 5 3" xfId="6472" xr:uid="{00000000-0005-0000-0000-0000D7190000}"/>
    <cellStyle name="Normal 5 3 3 3 2 5 3 2" xfId="14914" xr:uid="{B6B5AC7F-31AB-4EA5-AFA9-7B956974793C}"/>
    <cellStyle name="Normal 5 3 3 3 2 5 4" xfId="10696" xr:uid="{6CB1A4AE-7278-46F6-B435-E68A6441EB51}"/>
    <cellStyle name="Normal 5 3 3 3 2 6" xfId="2601" xr:uid="{00000000-0005-0000-0000-0000D8190000}"/>
    <cellStyle name="Normal 5 3 3 3 2 6 2" xfId="6885" xr:uid="{00000000-0005-0000-0000-0000D9190000}"/>
    <cellStyle name="Normal 5 3 3 3 2 6 2 2" xfId="15327" xr:uid="{0DC7A693-4D35-4640-9F0B-4C8D57493014}"/>
    <cellStyle name="Normal 5 3 3 3 2 6 3" xfId="11109" xr:uid="{2559C565-40A9-4AE1-8F11-3464025CBC22}"/>
    <cellStyle name="Normal 5 3 3 3 2 7" xfId="4820" xr:uid="{00000000-0005-0000-0000-0000DA190000}"/>
    <cellStyle name="Normal 5 3 3 3 2 7 2" xfId="13262" xr:uid="{F345EA52-7A4F-4F08-AD08-BF2CEE0C4F55}"/>
    <cellStyle name="Normal 5 3 3 3 2 8" xfId="9044" xr:uid="{87F601BF-C7ED-41E5-83D4-BFAFEF27734C}"/>
    <cellStyle name="Normal 5 3 3 3 3" xfId="920" xr:uid="{00000000-0005-0000-0000-0000DB190000}"/>
    <cellStyle name="Normal 5 3 3 3 3 2" xfId="3154" xr:uid="{00000000-0005-0000-0000-0000DC190000}"/>
    <cellStyle name="Normal 5 3 3 3 3 2 2" xfId="7377" xr:uid="{00000000-0005-0000-0000-0000DD190000}"/>
    <cellStyle name="Normal 5 3 3 3 3 2 2 2" xfId="15819" xr:uid="{72D13E74-70E8-4E99-A79A-165B40555576}"/>
    <cellStyle name="Normal 5 3 3 3 3 2 3" xfId="11601" xr:uid="{AD50B95B-0B2B-41D0-953F-476E1B627DB5}"/>
    <cellStyle name="Normal 5 3 3 3 3 3" xfId="5232" xr:uid="{00000000-0005-0000-0000-0000DE190000}"/>
    <cellStyle name="Normal 5 3 3 3 3 3 2" xfId="13674" xr:uid="{0ADD8220-AAF4-4988-8BB5-478CCDBDFCF7}"/>
    <cellStyle name="Normal 5 3 3 3 3 4" xfId="9456" xr:uid="{DA5C9336-CB65-4FE3-A93D-2661D3CD6251}"/>
    <cellStyle name="Normal 5 3 3 3 4" xfId="1337" xr:uid="{00000000-0005-0000-0000-0000DF190000}"/>
    <cellStyle name="Normal 5 3 3 3 4 2" xfId="3567" xr:uid="{00000000-0005-0000-0000-0000E0190000}"/>
    <cellStyle name="Normal 5 3 3 3 4 2 2" xfId="7790" xr:uid="{00000000-0005-0000-0000-0000E1190000}"/>
    <cellStyle name="Normal 5 3 3 3 4 2 2 2" xfId="16232" xr:uid="{3F278C06-2B8D-4CC9-8FC6-B03FF1F86818}"/>
    <cellStyle name="Normal 5 3 3 3 4 2 3" xfId="12014" xr:uid="{83771F7F-67F0-4D57-8FBA-8FD21CD36D85}"/>
    <cellStyle name="Normal 5 3 3 3 4 3" xfId="5645" xr:uid="{00000000-0005-0000-0000-0000E2190000}"/>
    <cellStyle name="Normal 5 3 3 3 4 3 2" xfId="14087" xr:uid="{0493094C-E2FE-4EFC-AAC0-03141AD59BB1}"/>
    <cellStyle name="Normal 5 3 3 3 4 4" xfId="9869" xr:uid="{1B312EB2-60BD-42EA-9034-FF3CCA3866A5}"/>
    <cellStyle name="Normal 5 3 3 3 5" xfId="1750" xr:uid="{00000000-0005-0000-0000-0000E3190000}"/>
    <cellStyle name="Normal 5 3 3 3 5 2" xfId="3980" xr:uid="{00000000-0005-0000-0000-0000E4190000}"/>
    <cellStyle name="Normal 5 3 3 3 5 2 2" xfId="8203" xr:uid="{00000000-0005-0000-0000-0000E5190000}"/>
    <cellStyle name="Normal 5 3 3 3 5 2 2 2" xfId="16645" xr:uid="{25D769FE-A539-4979-99EB-28AB6A484830}"/>
    <cellStyle name="Normal 5 3 3 3 5 2 3" xfId="12427" xr:uid="{AF308C1C-344C-4792-AB6D-C4E5992BE775}"/>
    <cellStyle name="Normal 5 3 3 3 5 3" xfId="6058" xr:uid="{00000000-0005-0000-0000-0000E6190000}"/>
    <cellStyle name="Normal 5 3 3 3 5 3 2" xfId="14500" xr:uid="{E4551C86-935D-4C84-B401-7A4A237F651B}"/>
    <cellStyle name="Normal 5 3 3 3 5 4" xfId="10282" xr:uid="{509CA1C0-99BC-4FE3-A44A-46C6DA17A1A6}"/>
    <cellStyle name="Normal 5 3 3 3 6" xfId="2164" xr:uid="{00000000-0005-0000-0000-0000E7190000}"/>
    <cellStyle name="Normal 5 3 3 3 6 2" xfId="4393" xr:uid="{00000000-0005-0000-0000-0000E8190000}"/>
    <cellStyle name="Normal 5 3 3 3 6 2 2" xfId="8616" xr:uid="{00000000-0005-0000-0000-0000E9190000}"/>
    <cellStyle name="Normal 5 3 3 3 6 2 2 2" xfId="17058" xr:uid="{529226B1-47E7-479B-BF14-1F19175EB71C}"/>
    <cellStyle name="Normal 5 3 3 3 6 2 3" xfId="12840" xr:uid="{504E56D0-EC86-4896-B59B-AE4393AC08FF}"/>
    <cellStyle name="Normal 5 3 3 3 6 3" xfId="6471" xr:uid="{00000000-0005-0000-0000-0000EA190000}"/>
    <cellStyle name="Normal 5 3 3 3 6 3 2" xfId="14913" xr:uid="{23BFCAC3-293C-44AB-AD74-1CAC21340ACF}"/>
    <cellStyle name="Normal 5 3 3 3 6 4" xfId="10695" xr:uid="{9A341295-FE08-4359-9F09-912616BBCD37}"/>
    <cellStyle name="Normal 5 3 3 3 7" xfId="2600" xr:uid="{00000000-0005-0000-0000-0000EB190000}"/>
    <cellStyle name="Normal 5 3 3 3 7 2" xfId="6884" xr:uid="{00000000-0005-0000-0000-0000EC190000}"/>
    <cellStyle name="Normal 5 3 3 3 7 2 2" xfId="15326" xr:uid="{281C1827-CDA6-4330-9801-1BD3EC6811C2}"/>
    <cellStyle name="Normal 5 3 3 3 7 3" xfId="11108" xr:uid="{1AD71F78-1B5C-4696-832D-357BF8616837}"/>
    <cellStyle name="Normal 5 3 3 3 8" xfId="4819" xr:uid="{00000000-0005-0000-0000-0000ED190000}"/>
    <cellStyle name="Normal 5 3 3 3 8 2" xfId="13261" xr:uid="{476E6DBA-D064-4DE8-89B4-02F1DC56FE6F}"/>
    <cellStyle name="Normal 5 3 3 3 9" xfId="9043" xr:uid="{18B7F427-66A4-4200-871C-B57D3FDA4356}"/>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2 2 2" xfId="15821" xr:uid="{16C92654-0F82-41E2-9CC0-D7EFBC556572}"/>
    <cellStyle name="Normal 5 3 3 4 2 2 3" xfId="11603" xr:uid="{C2AC6D3E-82C7-4529-9AC1-0F212DC53A61}"/>
    <cellStyle name="Normal 5 3 3 4 2 3" xfId="5234" xr:uid="{00000000-0005-0000-0000-0000F2190000}"/>
    <cellStyle name="Normal 5 3 3 4 2 3 2" xfId="13676" xr:uid="{537D7B17-ED63-43E3-A907-0011266CE7A4}"/>
    <cellStyle name="Normal 5 3 3 4 2 4" xfId="9458" xr:uid="{D622E902-F953-4EA3-BCB4-AF9BFDEFE86D}"/>
    <cellStyle name="Normal 5 3 3 4 3" xfId="1339" xr:uid="{00000000-0005-0000-0000-0000F3190000}"/>
    <cellStyle name="Normal 5 3 3 4 3 2" xfId="3569" xr:uid="{00000000-0005-0000-0000-0000F4190000}"/>
    <cellStyle name="Normal 5 3 3 4 3 2 2" xfId="7792" xr:uid="{00000000-0005-0000-0000-0000F5190000}"/>
    <cellStyle name="Normal 5 3 3 4 3 2 2 2" xfId="16234" xr:uid="{D4792409-A7EB-4746-ABEA-4E6DEC98D446}"/>
    <cellStyle name="Normal 5 3 3 4 3 2 3" xfId="12016" xr:uid="{32EEC6CE-81A4-4A69-B671-E1D4C0339F52}"/>
    <cellStyle name="Normal 5 3 3 4 3 3" xfId="5647" xr:uid="{00000000-0005-0000-0000-0000F6190000}"/>
    <cellStyle name="Normal 5 3 3 4 3 3 2" xfId="14089" xr:uid="{00E8D353-39A1-4DFE-9906-8C6CFE71BBDE}"/>
    <cellStyle name="Normal 5 3 3 4 3 4" xfId="9871" xr:uid="{9C325672-65A9-48BF-9031-160E15DA8D13}"/>
    <cellStyle name="Normal 5 3 3 4 4" xfId="1752" xr:uid="{00000000-0005-0000-0000-0000F7190000}"/>
    <cellStyle name="Normal 5 3 3 4 4 2" xfId="3982" xr:uid="{00000000-0005-0000-0000-0000F8190000}"/>
    <cellStyle name="Normal 5 3 3 4 4 2 2" xfId="8205" xr:uid="{00000000-0005-0000-0000-0000F9190000}"/>
    <cellStyle name="Normal 5 3 3 4 4 2 2 2" xfId="16647" xr:uid="{13BFE5F7-0CDD-4257-BB90-FC23A272BD95}"/>
    <cellStyle name="Normal 5 3 3 4 4 2 3" xfId="12429" xr:uid="{220A7A3C-8F2F-4239-8C79-3BA4F6DAA6A4}"/>
    <cellStyle name="Normal 5 3 3 4 4 3" xfId="6060" xr:uid="{00000000-0005-0000-0000-0000FA190000}"/>
    <cellStyle name="Normal 5 3 3 4 4 3 2" xfId="14502" xr:uid="{83C158AA-49E6-446F-B0D5-B3A36A33EAD7}"/>
    <cellStyle name="Normal 5 3 3 4 4 4" xfId="10284" xr:uid="{4193BC94-4B0E-48D5-B08A-B59AB090FD5C}"/>
    <cellStyle name="Normal 5 3 3 4 5" xfId="2166" xr:uid="{00000000-0005-0000-0000-0000FB190000}"/>
    <cellStyle name="Normal 5 3 3 4 5 2" xfId="4395" xr:uid="{00000000-0005-0000-0000-0000FC190000}"/>
    <cellStyle name="Normal 5 3 3 4 5 2 2" xfId="8618" xr:uid="{00000000-0005-0000-0000-0000FD190000}"/>
    <cellStyle name="Normal 5 3 3 4 5 2 2 2" xfId="17060" xr:uid="{50C02AF5-5CC5-4E30-83D5-77125BCACF8E}"/>
    <cellStyle name="Normal 5 3 3 4 5 2 3" xfId="12842" xr:uid="{052EE428-9E6C-4F4C-9268-B1EB317A2986}"/>
    <cellStyle name="Normal 5 3 3 4 5 3" xfId="6473" xr:uid="{00000000-0005-0000-0000-0000FE190000}"/>
    <cellStyle name="Normal 5 3 3 4 5 3 2" xfId="14915" xr:uid="{71BAD995-C118-48AE-A49B-56D892681EFB}"/>
    <cellStyle name="Normal 5 3 3 4 5 4" xfId="10697" xr:uid="{3E5A408A-5EED-4DF2-B0E2-F8BEFBCCC911}"/>
    <cellStyle name="Normal 5 3 3 4 6" xfId="2602" xr:uid="{00000000-0005-0000-0000-0000FF190000}"/>
    <cellStyle name="Normal 5 3 3 4 6 2" xfId="6886" xr:uid="{00000000-0005-0000-0000-0000001A0000}"/>
    <cellStyle name="Normal 5 3 3 4 6 2 2" xfId="15328" xr:uid="{AE5EA173-82C2-4312-BCAA-632BE62BA912}"/>
    <cellStyle name="Normal 5 3 3 4 6 3" xfId="11110" xr:uid="{11BEA4AC-700A-45FF-81D6-88B77AB70692}"/>
    <cellStyle name="Normal 5 3 3 4 7" xfId="4821" xr:uid="{00000000-0005-0000-0000-0000011A0000}"/>
    <cellStyle name="Normal 5 3 3 4 7 2" xfId="13263" xr:uid="{6C66449E-115B-4165-9D4A-F61A848CF3F4}"/>
    <cellStyle name="Normal 5 3 3 4 8" xfId="9045" xr:uid="{22FB1EDA-73BA-4EE4-BA73-2E31806CD461}"/>
    <cellStyle name="Normal 5 3 3 5" xfId="915" xr:uid="{00000000-0005-0000-0000-0000021A0000}"/>
    <cellStyle name="Normal 5 3 3 5 2" xfId="3149" xr:uid="{00000000-0005-0000-0000-0000031A0000}"/>
    <cellStyle name="Normal 5 3 3 5 2 2" xfId="7372" xr:uid="{00000000-0005-0000-0000-0000041A0000}"/>
    <cellStyle name="Normal 5 3 3 5 2 2 2" xfId="15814" xr:uid="{9C612205-8AF0-403A-A944-9079F991C8DD}"/>
    <cellStyle name="Normal 5 3 3 5 2 3" xfId="11596" xr:uid="{1EE36594-AF84-45D2-BA6F-345C3213754B}"/>
    <cellStyle name="Normal 5 3 3 5 3" xfId="5227" xr:uid="{00000000-0005-0000-0000-0000051A0000}"/>
    <cellStyle name="Normal 5 3 3 5 3 2" xfId="13669" xr:uid="{4B17B303-FC6D-4424-8079-F6AC971FE9D1}"/>
    <cellStyle name="Normal 5 3 3 5 4" xfId="9451" xr:uid="{B4349E85-B70F-46A4-B01E-DCF4EB01AD9B}"/>
    <cellStyle name="Normal 5 3 3 6" xfId="1332" xr:uid="{00000000-0005-0000-0000-0000061A0000}"/>
    <cellStyle name="Normal 5 3 3 6 2" xfId="3562" xr:uid="{00000000-0005-0000-0000-0000071A0000}"/>
    <cellStyle name="Normal 5 3 3 6 2 2" xfId="7785" xr:uid="{00000000-0005-0000-0000-0000081A0000}"/>
    <cellStyle name="Normal 5 3 3 6 2 2 2" xfId="16227" xr:uid="{62B22640-7228-4985-85B7-18FDF3F2FDD6}"/>
    <cellStyle name="Normal 5 3 3 6 2 3" xfId="12009" xr:uid="{DFD1BC27-D38B-4902-B762-17CC09879CD2}"/>
    <cellStyle name="Normal 5 3 3 6 3" xfId="5640" xr:uid="{00000000-0005-0000-0000-0000091A0000}"/>
    <cellStyle name="Normal 5 3 3 6 3 2" xfId="14082" xr:uid="{EDE3A4EB-0911-4193-9ED6-D68C513145C4}"/>
    <cellStyle name="Normal 5 3 3 6 4" xfId="9864" xr:uid="{AD309298-9394-4449-B79C-539676A2BDAE}"/>
    <cellStyle name="Normal 5 3 3 7" xfId="1745" xr:uid="{00000000-0005-0000-0000-00000A1A0000}"/>
    <cellStyle name="Normal 5 3 3 7 2" xfId="3975" xr:uid="{00000000-0005-0000-0000-00000B1A0000}"/>
    <cellStyle name="Normal 5 3 3 7 2 2" xfId="8198" xr:uid="{00000000-0005-0000-0000-00000C1A0000}"/>
    <cellStyle name="Normal 5 3 3 7 2 2 2" xfId="16640" xr:uid="{47B6EA5F-825B-405E-AF83-F9A3F4D4D0DD}"/>
    <cellStyle name="Normal 5 3 3 7 2 3" xfId="12422" xr:uid="{5082F2BD-F59A-49F3-B1F7-7AD7151B3F8A}"/>
    <cellStyle name="Normal 5 3 3 7 3" xfId="6053" xr:uid="{00000000-0005-0000-0000-00000D1A0000}"/>
    <cellStyle name="Normal 5 3 3 7 3 2" xfId="14495" xr:uid="{A5850EB2-4C8C-417E-B414-1C8D31D6BC2B}"/>
    <cellStyle name="Normal 5 3 3 7 4" xfId="10277" xr:uid="{47BB90C4-BA51-4452-988A-51C339772A2C}"/>
    <cellStyle name="Normal 5 3 3 8" xfId="2159" xr:uid="{00000000-0005-0000-0000-00000E1A0000}"/>
    <cellStyle name="Normal 5 3 3 8 2" xfId="4388" xr:uid="{00000000-0005-0000-0000-00000F1A0000}"/>
    <cellStyle name="Normal 5 3 3 8 2 2" xfId="8611" xr:uid="{00000000-0005-0000-0000-0000101A0000}"/>
    <cellStyle name="Normal 5 3 3 8 2 2 2" xfId="17053" xr:uid="{16F20266-7187-48E3-9BAF-FBA0EFF70FBB}"/>
    <cellStyle name="Normal 5 3 3 8 2 3" xfId="12835" xr:uid="{E96420B2-3B7A-43A2-8DFC-DC10CC451B78}"/>
    <cellStyle name="Normal 5 3 3 8 3" xfId="6466" xr:uid="{00000000-0005-0000-0000-0000111A0000}"/>
    <cellStyle name="Normal 5 3 3 8 3 2" xfId="14908" xr:uid="{44BBE8F9-90A0-457B-9AF2-2050891B1BD8}"/>
    <cellStyle name="Normal 5 3 3 8 4" xfId="10690" xr:uid="{9B929F85-B539-48A0-9B32-76109F5FF05B}"/>
    <cellStyle name="Normal 5 3 3 9" xfId="2595" xr:uid="{00000000-0005-0000-0000-0000121A0000}"/>
    <cellStyle name="Normal 5 3 3 9 2" xfId="6879" xr:uid="{00000000-0005-0000-0000-0000131A0000}"/>
    <cellStyle name="Normal 5 3 3 9 2 2" xfId="15321" xr:uid="{C6B582AD-CF2A-4FA6-94A3-00463AF3173C}"/>
    <cellStyle name="Normal 5 3 3 9 3" xfId="11103" xr:uid="{79989894-D2BC-4D39-A1A3-984228E9DC41}"/>
    <cellStyle name="Normal 5 3 4" xfId="449" xr:uid="{00000000-0005-0000-0000-0000141A0000}"/>
    <cellStyle name="Normal 5 3 4 10" xfId="9046" xr:uid="{A656B336-E3D4-400A-BF20-2FE262184723}"/>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2 2 2" xfId="15824" xr:uid="{0E4B8485-6A10-4CE7-ADAC-DA1877583AC3}"/>
    <cellStyle name="Normal 5 3 4 2 2 2 2 3" xfId="11606" xr:uid="{CE69995F-D0B1-479C-B15C-ACE0A08671CD}"/>
    <cellStyle name="Normal 5 3 4 2 2 2 3" xfId="5237" xr:uid="{00000000-0005-0000-0000-00001A1A0000}"/>
    <cellStyle name="Normal 5 3 4 2 2 2 3 2" xfId="13679" xr:uid="{BD175F8B-FA3F-4B09-A5C8-A6030C3A7D94}"/>
    <cellStyle name="Normal 5 3 4 2 2 2 4" xfId="9461" xr:uid="{7E8B7874-AD7B-4D74-AFF9-391D7DDE3E55}"/>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2 2 2" xfId="16237" xr:uid="{9A3E3B3A-FE57-43AF-AA6F-AC7388BA4A7C}"/>
    <cellStyle name="Normal 5 3 4 2 2 3 2 3" xfId="12019" xr:uid="{186D9290-DBD4-49FC-8636-CA590D78908A}"/>
    <cellStyle name="Normal 5 3 4 2 2 3 3" xfId="5650" xr:uid="{00000000-0005-0000-0000-00001E1A0000}"/>
    <cellStyle name="Normal 5 3 4 2 2 3 3 2" xfId="14092" xr:uid="{31F2EE6C-1819-4E26-90AB-6AA6694CDCDC}"/>
    <cellStyle name="Normal 5 3 4 2 2 3 4" xfId="9874" xr:uid="{41CBCB35-FD5A-4E18-A56A-B61FD4939615}"/>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2 2 2" xfId="16650" xr:uid="{956568DE-229D-491C-BC98-8A5E5D477626}"/>
    <cellStyle name="Normal 5 3 4 2 2 4 2 3" xfId="12432" xr:uid="{99B25005-F586-434F-B7EF-7F3A145B0FE5}"/>
    <cellStyle name="Normal 5 3 4 2 2 4 3" xfId="6063" xr:uid="{00000000-0005-0000-0000-0000221A0000}"/>
    <cellStyle name="Normal 5 3 4 2 2 4 3 2" xfId="14505" xr:uid="{B5447E59-0E5D-40E5-AAF9-CA67DB03F4AB}"/>
    <cellStyle name="Normal 5 3 4 2 2 4 4" xfId="10287" xr:uid="{27082D46-D61C-42EC-8C40-08BED8AB061F}"/>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2 2 2" xfId="17063" xr:uid="{DF0C9AB8-4D9A-4285-8098-57BF76782363}"/>
    <cellStyle name="Normal 5 3 4 2 2 5 2 3" xfId="12845" xr:uid="{B0EEAD77-CF6C-45FA-8C68-D88F952DFBB9}"/>
    <cellStyle name="Normal 5 3 4 2 2 5 3" xfId="6476" xr:uid="{00000000-0005-0000-0000-0000261A0000}"/>
    <cellStyle name="Normal 5 3 4 2 2 5 3 2" xfId="14918" xr:uid="{0E53D68E-39B4-4937-A4B6-988275077CA4}"/>
    <cellStyle name="Normal 5 3 4 2 2 5 4" xfId="10700" xr:uid="{CB6BB68F-4CF2-4989-9D2F-D184929F16D1}"/>
    <cellStyle name="Normal 5 3 4 2 2 6" xfId="2605" xr:uid="{00000000-0005-0000-0000-0000271A0000}"/>
    <cellStyle name="Normal 5 3 4 2 2 6 2" xfId="6889" xr:uid="{00000000-0005-0000-0000-0000281A0000}"/>
    <cellStyle name="Normal 5 3 4 2 2 6 2 2" xfId="15331" xr:uid="{71233AD7-2545-4772-8C50-757113E59ADE}"/>
    <cellStyle name="Normal 5 3 4 2 2 6 3" xfId="11113" xr:uid="{82650D72-9AFC-4D1E-B9D9-76540962C35B}"/>
    <cellStyle name="Normal 5 3 4 2 2 7" xfId="4824" xr:uid="{00000000-0005-0000-0000-0000291A0000}"/>
    <cellStyle name="Normal 5 3 4 2 2 7 2" xfId="13266" xr:uid="{70A77B51-8486-445C-84A8-F0BD86E56BF6}"/>
    <cellStyle name="Normal 5 3 4 2 2 8" xfId="9048" xr:uid="{EBBEA100-8051-45A5-8D90-F20F96A10CA5}"/>
    <cellStyle name="Normal 5 3 4 2 3" xfId="924" xr:uid="{00000000-0005-0000-0000-00002A1A0000}"/>
    <cellStyle name="Normal 5 3 4 2 3 2" xfId="3158" xr:uid="{00000000-0005-0000-0000-00002B1A0000}"/>
    <cellStyle name="Normal 5 3 4 2 3 2 2" xfId="7381" xr:uid="{00000000-0005-0000-0000-00002C1A0000}"/>
    <cellStyle name="Normal 5 3 4 2 3 2 2 2" xfId="15823" xr:uid="{74CFFD6A-36D0-4857-AB5A-C250CAF3D833}"/>
    <cellStyle name="Normal 5 3 4 2 3 2 3" xfId="11605" xr:uid="{F077F4B3-18F3-43BD-BC67-07E40E52F0C2}"/>
    <cellStyle name="Normal 5 3 4 2 3 3" xfId="5236" xr:uid="{00000000-0005-0000-0000-00002D1A0000}"/>
    <cellStyle name="Normal 5 3 4 2 3 3 2" xfId="13678" xr:uid="{34A9B9B5-A361-452F-8002-4F6517FC030E}"/>
    <cellStyle name="Normal 5 3 4 2 3 4" xfId="9460" xr:uid="{E1A1382F-0001-4DA5-97E3-216B284182C3}"/>
    <cellStyle name="Normal 5 3 4 2 4" xfId="1341" xr:uid="{00000000-0005-0000-0000-00002E1A0000}"/>
    <cellStyle name="Normal 5 3 4 2 4 2" xfId="3571" xr:uid="{00000000-0005-0000-0000-00002F1A0000}"/>
    <cellStyle name="Normal 5 3 4 2 4 2 2" xfId="7794" xr:uid="{00000000-0005-0000-0000-0000301A0000}"/>
    <cellStyle name="Normal 5 3 4 2 4 2 2 2" xfId="16236" xr:uid="{F12AF2A5-1C1E-403B-882A-46BA2C51D676}"/>
    <cellStyle name="Normal 5 3 4 2 4 2 3" xfId="12018" xr:uid="{07E5243B-3A79-4659-96B3-C674900E1DF8}"/>
    <cellStyle name="Normal 5 3 4 2 4 3" xfId="5649" xr:uid="{00000000-0005-0000-0000-0000311A0000}"/>
    <cellStyle name="Normal 5 3 4 2 4 3 2" xfId="14091" xr:uid="{2FDF3115-8AB9-45A4-94C9-B7F6C767A24C}"/>
    <cellStyle name="Normal 5 3 4 2 4 4" xfId="9873" xr:uid="{118EF16C-9EDA-4555-8B45-D0AB8B69461B}"/>
    <cellStyle name="Normal 5 3 4 2 5" xfId="1754" xr:uid="{00000000-0005-0000-0000-0000321A0000}"/>
    <cellStyle name="Normal 5 3 4 2 5 2" xfId="3984" xr:uid="{00000000-0005-0000-0000-0000331A0000}"/>
    <cellStyle name="Normal 5 3 4 2 5 2 2" xfId="8207" xr:uid="{00000000-0005-0000-0000-0000341A0000}"/>
    <cellStyle name="Normal 5 3 4 2 5 2 2 2" xfId="16649" xr:uid="{3A346E49-0739-48E3-9580-7156404F98FD}"/>
    <cellStyle name="Normal 5 3 4 2 5 2 3" xfId="12431" xr:uid="{F66E14FD-BCA8-48B7-A961-102DB9704C52}"/>
    <cellStyle name="Normal 5 3 4 2 5 3" xfId="6062" xr:uid="{00000000-0005-0000-0000-0000351A0000}"/>
    <cellStyle name="Normal 5 3 4 2 5 3 2" xfId="14504" xr:uid="{4CFF6024-4F90-42A3-946C-2D269E0CCDD9}"/>
    <cellStyle name="Normal 5 3 4 2 5 4" xfId="10286" xr:uid="{F788912E-EA19-4EA5-83D3-B585ED17A592}"/>
    <cellStyle name="Normal 5 3 4 2 6" xfId="2168" xr:uid="{00000000-0005-0000-0000-0000361A0000}"/>
    <cellStyle name="Normal 5 3 4 2 6 2" xfId="4397" xr:uid="{00000000-0005-0000-0000-0000371A0000}"/>
    <cellStyle name="Normal 5 3 4 2 6 2 2" xfId="8620" xr:uid="{00000000-0005-0000-0000-0000381A0000}"/>
    <cellStyle name="Normal 5 3 4 2 6 2 2 2" xfId="17062" xr:uid="{9A67E427-3AA7-440E-A541-E6E881F8AFAF}"/>
    <cellStyle name="Normal 5 3 4 2 6 2 3" xfId="12844" xr:uid="{93765AC4-D34A-4199-B358-F0D3F7FF1D31}"/>
    <cellStyle name="Normal 5 3 4 2 6 3" xfId="6475" xr:uid="{00000000-0005-0000-0000-0000391A0000}"/>
    <cellStyle name="Normal 5 3 4 2 6 3 2" xfId="14917" xr:uid="{943570A6-2023-45B3-A2F6-8CAFF993F328}"/>
    <cellStyle name="Normal 5 3 4 2 6 4" xfId="10699" xr:uid="{470B9EEC-AAD3-4FCF-B972-A98A6CDA589D}"/>
    <cellStyle name="Normal 5 3 4 2 7" xfId="2604" xr:uid="{00000000-0005-0000-0000-00003A1A0000}"/>
    <cellStyle name="Normal 5 3 4 2 7 2" xfId="6888" xr:uid="{00000000-0005-0000-0000-00003B1A0000}"/>
    <cellStyle name="Normal 5 3 4 2 7 2 2" xfId="15330" xr:uid="{83A6F4F5-7ABB-440D-9528-3C95B73566B5}"/>
    <cellStyle name="Normal 5 3 4 2 7 3" xfId="11112" xr:uid="{E0882E86-A22A-4190-A5F4-E310B391E5BF}"/>
    <cellStyle name="Normal 5 3 4 2 8" xfId="4823" xr:uid="{00000000-0005-0000-0000-00003C1A0000}"/>
    <cellStyle name="Normal 5 3 4 2 8 2" xfId="13265" xr:uid="{F4CBACD3-CE8B-4D22-B945-DA011D4ACDD7}"/>
    <cellStyle name="Normal 5 3 4 2 9" xfId="9047" xr:uid="{B9135566-A672-4EEC-AF02-F5D18FFBC82E}"/>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2 2 2" xfId="15825" xr:uid="{C1A02348-2D15-435C-9D4C-5A22B4D22369}"/>
    <cellStyle name="Normal 5 3 4 3 2 2 3" xfId="11607" xr:uid="{5C6242CD-1155-483A-8EEB-934CD788C94E}"/>
    <cellStyle name="Normal 5 3 4 3 2 3" xfId="5238" xr:uid="{00000000-0005-0000-0000-0000411A0000}"/>
    <cellStyle name="Normal 5 3 4 3 2 3 2" xfId="13680" xr:uid="{35A68FB5-4114-4249-A00C-9EC4465A6145}"/>
    <cellStyle name="Normal 5 3 4 3 2 4" xfId="9462" xr:uid="{C26712DC-5D8F-4ECD-A740-DFA142D8FE2B}"/>
    <cellStyle name="Normal 5 3 4 3 3" xfId="1343" xr:uid="{00000000-0005-0000-0000-0000421A0000}"/>
    <cellStyle name="Normal 5 3 4 3 3 2" xfId="3573" xr:uid="{00000000-0005-0000-0000-0000431A0000}"/>
    <cellStyle name="Normal 5 3 4 3 3 2 2" xfId="7796" xr:uid="{00000000-0005-0000-0000-0000441A0000}"/>
    <cellStyle name="Normal 5 3 4 3 3 2 2 2" xfId="16238" xr:uid="{4BE2A732-A0C2-4B8A-927B-CD5BA7B43F93}"/>
    <cellStyle name="Normal 5 3 4 3 3 2 3" xfId="12020" xr:uid="{23907DA5-8090-4706-9B65-E7049622F1AE}"/>
    <cellStyle name="Normal 5 3 4 3 3 3" xfId="5651" xr:uid="{00000000-0005-0000-0000-0000451A0000}"/>
    <cellStyle name="Normal 5 3 4 3 3 3 2" xfId="14093" xr:uid="{6D2C6D66-7CF6-491E-B1C6-7309E4C1A7FF}"/>
    <cellStyle name="Normal 5 3 4 3 3 4" xfId="9875" xr:uid="{AF7F9F6A-59D2-4C9E-8E8F-84F726C180D1}"/>
    <cellStyle name="Normal 5 3 4 3 4" xfId="1756" xr:uid="{00000000-0005-0000-0000-0000461A0000}"/>
    <cellStyle name="Normal 5 3 4 3 4 2" xfId="3986" xr:uid="{00000000-0005-0000-0000-0000471A0000}"/>
    <cellStyle name="Normal 5 3 4 3 4 2 2" xfId="8209" xr:uid="{00000000-0005-0000-0000-0000481A0000}"/>
    <cellStyle name="Normal 5 3 4 3 4 2 2 2" xfId="16651" xr:uid="{87A402A4-ED0E-4E14-A2DC-24F5A1410208}"/>
    <cellStyle name="Normal 5 3 4 3 4 2 3" xfId="12433" xr:uid="{C1636D69-6993-401B-A9D5-25329E776ACB}"/>
    <cellStyle name="Normal 5 3 4 3 4 3" xfId="6064" xr:uid="{00000000-0005-0000-0000-0000491A0000}"/>
    <cellStyle name="Normal 5 3 4 3 4 3 2" xfId="14506" xr:uid="{EE6142C2-4FEA-495A-A932-ACE1A8376FFE}"/>
    <cellStyle name="Normal 5 3 4 3 4 4" xfId="10288" xr:uid="{99D1E12C-6D92-46FA-A7C1-B26E9364DEFE}"/>
    <cellStyle name="Normal 5 3 4 3 5" xfId="2170" xr:uid="{00000000-0005-0000-0000-00004A1A0000}"/>
    <cellStyle name="Normal 5 3 4 3 5 2" xfId="4399" xr:uid="{00000000-0005-0000-0000-00004B1A0000}"/>
    <cellStyle name="Normal 5 3 4 3 5 2 2" xfId="8622" xr:uid="{00000000-0005-0000-0000-00004C1A0000}"/>
    <cellStyle name="Normal 5 3 4 3 5 2 2 2" xfId="17064" xr:uid="{1E8D2E44-9613-42CA-984D-18B608B3F724}"/>
    <cellStyle name="Normal 5 3 4 3 5 2 3" xfId="12846" xr:uid="{28C64360-15BF-4505-8438-D7A405C8A1E2}"/>
    <cellStyle name="Normal 5 3 4 3 5 3" xfId="6477" xr:uid="{00000000-0005-0000-0000-00004D1A0000}"/>
    <cellStyle name="Normal 5 3 4 3 5 3 2" xfId="14919" xr:uid="{4CE6E6F4-7C3E-4531-BB77-384A5215FFFF}"/>
    <cellStyle name="Normal 5 3 4 3 5 4" xfId="10701" xr:uid="{345250A2-682A-443F-AC47-BA47CF12D499}"/>
    <cellStyle name="Normal 5 3 4 3 6" xfId="2606" xr:uid="{00000000-0005-0000-0000-00004E1A0000}"/>
    <cellStyle name="Normal 5 3 4 3 6 2" xfId="6890" xr:uid="{00000000-0005-0000-0000-00004F1A0000}"/>
    <cellStyle name="Normal 5 3 4 3 6 2 2" xfId="15332" xr:uid="{F403DD5C-10D9-41FA-902E-C6C10C2ED463}"/>
    <cellStyle name="Normal 5 3 4 3 6 3" xfId="11114" xr:uid="{0C3D6444-FEC5-464B-B135-2FD6E173A95C}"/>
    <cellStyle name="Normal 5 3 4 3 7" xfId="4825" xr:uid="{00000000-0005-0000-0000-0000501A0000}"/>
    <cellStyle name="Normal 5 3 4 3 7 2" xfId="13267" xr:uid="{649F74D9-68C3-4562-BE28-CFFD26603C82}"/>
    <cellStyle name="Normal 5 3 4 3 8" xfId="9049" xr:uid="{2C20BF7A-6A3E-4683-960A-B93968A07E48}"/>
    <cellStyle name="Normal 5 3 4 4" xfId="923" xr:uid="{00000000-0005-0000-0000-0000511A0000}"/>
    <cellStyle name="Normal 5 3 4 4 2" xfId="3157" xr:uid="{00000000-0005-0000-0000-0000521A0000}"/>
    <cellStyle name="Normal 5 3 4 4 2 2" xfId="7380" xr:uid="{00000000-0005-0000-0000-0000531A0000}"/>
    <cellStyle name="Normal 5 3 4 4 2 2 2" xfId="15822" xr:uid="{F171827E-58C7-41A5-BF0D-F729DEC77E15}"/>
    <cellStyle name="Normal 5 3 4 4 2 3" xfId="11604" xr:uid="{97152B36-CD9D-4FFC-A76C-04A2397D45D8}"/>
    <cellStyle name="Normal 5 3 4 4 3" xfId="5235" xr:uid="{00000000-0005-0000-0000-0000541A0000}"/>
    <cellStyle name="Normal 5 3 4 4 3 2" xfId="13677" xr:uid="{7CE12E55-A789-44D0-A89B-1C33DB0C7781}"/>
    <cellStyle name="Normal 5 3 4 4 4" xfId="9459" xr:uid="{F36A0CEE-CC14-4AAA-B056-E45E79FB7FD8}"/>
    <cellStyle name="Normal 5 3 4 5" xfId="1340" xr:uid="{00000000-0005-0000-0000-0000551A0000}"/>
    <cellStyle name="Normal 5 3 4 5 2" xfId="3570" xr:uid="{00000000-0005-0000-0000-0000561A0000}"/>
    <cellStyle name="Normal 5 3 4 5 2 2" xfId="7793" xr:uid="{00000000-0005-0000-0000-0000571A0000}"/>
    <cellStyle name="Normal 5 3 4 5 2 2 2" xfId="16235" xr:uid="{06D798DD-8713-46BB-97FF-3683400EE40D}"/>
    <cellStyle name="Normal 5 3 4 5 2 3" xfId="12017" xr:uid="{6FFBE1B5-728C-4735-91FD-80A1A88D6546}"/>
    <cellStyle name="Normal 5 3 4 5 3" xfId="5648" xr:uid="{00000000-0005-0000-0000-0000581A0000}"/>
    <cellStyle name="Normal 5 3 4 5 3 2" xfId="14090" xr:uid="{A9E9EBB3-1292-46D5-BB68-3A961E375B57}"/>
    <cellStyle name="Normal 5 3 4 5 4" xfId="9872" xr:uid="{D5E361C1-3642-4282-9F69-6A8A28FEB3E7}"/>
    <cellStyle name="Normal 5 3 4 6" xfId="1753" xr:uid="{00000000-0005-0000-0000-0000591A0000}"/>
    <cellStyle name="Normal 5 3 4 6 2" xfId="3983" xr:uid="{00000000-0005-0000-0000-00005A1A0000}"/>
    <cellStyle name="Normal 5 3 4 6 2 2" xfId="8206" xr:uid="{00000000-0005-0000-0000-00005B1A0000}"/>
    <cellStyle name="Normal 5 3 4 6 2 2 2" xfId="16648" xr:uid="{403807F3-6E51-4D92-93F2-2E54BBF87C89}"/>
    <cellStyle name="Normal 5 3 4 6 2 3" xfId="12430" xr:uid="{080AB800-5742-4D42-9612-9CFCF29CA787}"/>
    <cellStyle name="Normal 5 3 4 6 3" xfId="6061" xr:uid="{00000000-0005-0000-0000-00005C1A0000}"/>
    <cellStyle name="Normal 5 3 4 6 3 2" xfId="14503" xr:uid="{9C3A4E84-8A48-41DB-8062-8E8E6E61BDA3}"/>
    <cellStyle name="Normal 5 3 4 6 4" xfId="10285" xr:uid="{F33ADF10-757B-41F1-9CEC-29B143D43531}"/>
    <cellStyle name="Normal 5 3 4 7" xfId="2167" xr:uid="{00000000-0005-0000-0000-00005D1A0000}"/>
    <cellStyle name="Normal 5 3 4 7 2" xfId="4396" xr:uid="{00000000-0005-0000-0000-00005E1A0000}"/>
    <cellStyle name="Normal 5 3 4 7 2 2" xfId="8619" xr:uid="{00000000-0005-0000-0000-00005F1A0000}"/>
    <cellStyle name="Normal 5 3 4 7 2 2 2" xfId="17061" xr:uid="{E284CA0F-3D9A-4101-99C1-7E4F6DA400BB}"/>
    <cellStyle name="Normal 5 3 4 7 2 3" xfId="12843" xr:uid="{9B0E401F-C546-4A62-87FB-B4FF856FBE3B}"/>
    <cellStyle name="Normal 5 3 4 7 3" xfId="6474" xr:uid="{00000000-0005-0000-0000-0000601A0000}"/>
    <cellStyle name="Normal 5 3 4 7 3 2" xfId="14916" xr:uid="{0E8E28B2-9DDF-4272-8E09-12C82411F4F0}"/>
    <cellStyle name="Normal 5 3 4 7 4" xfId="10698" xr:uid="{9EC229F6-D6A9-470C-B5CC-FE9FC056DD7D}"/>
    <cellStyle name="Normal 5 3 4 8" xfId="2603" xr:uid="{00000000-0005-0000-0000-0000611A0000}"/>
    <cellStyle name="Normal 5 3 4 8 2" xfId="6887" xr:uid="{00000000-0005-0000-0000-0000621A0000}"/>
    <cellStyle name="Normal 5 3 4 8 2 2" xfId="15329" xr:uid="{D4EBAA59-1FDD-41E1-BA5A-574481832F00}"/>
    <cellStyle name="Normal 5 3 4 8 3" xfId="11111" xr:uid="{41DAB988-50B6-4D57-84E5-B55F0E1CA4DA}"/>
    <cellStyle name="Normal 5 3 4 9" xfId="4822" xr:uid="{00000000-0005-0000-0000-0000631A0000}"/>
    <cellStyle name="Normal 5 3 4 9 2" xfId="13264" xr:uid="{BCD22A71-36CC-4A1C-8354-0EBA849ED0D7}"/>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2 2 2" xfId="15827" xr:uid="{31B11058-DB00-413F-B2A1-676AC8F87C6A}"/>
    <cellStyle name="Normal 5 3 5 2 2 2 3" xfId="11609" xr:uid="{68936233-B8AA-47F5-A538-F4EAF2E62C2D}"/>
    <cellStyle name="Normal 5 3 5 2 2 3" xfId="5240" xr:uid="{00000000-0005-0000-0000-0000691A0000}"/>
    <cellStyle name="Normal 5 3 5 2 2 3 2" xfId="13682" xr:uid="{F3E3C3AA-3126-49F6-9DDE-91146396FE9C}"/>
    <cellStyle name="Normal 5 3 5 2 2 4" xfId="9464" xr:uid="{714C5580-968E-4E8A-8892-D66A9BEFC616}"/>
    <cellStyle name="Normal 5 3 5 2 3" xfId="1345" xr:uid="{00000000-0005-0000-0000-00006A1A0000}"/>
    <cellStyle name="Normal 5 3 5 2 3 2" xfId="3575" xr:uid="{00000000-0005-0000-0000-00006B1A0000}"/>
    <cellStyle name="Normal 5 3 5 2 3 2 2" xfId="7798" xr:uid="{00000000-0005-0000-0000-00006C1A0000}"/>
    <cellStyle name="Normal 5 3 5 2 3 2 2 2" xfId="16240" xr:uid="{CB022EFE-57D1-44C8-9A30-54BD736F6B29}"/>
    <cellStyle name="Normal 5 3 5 2 3 2 3" xfId="12022" xr:uid="{1404033A-1AD2-4D63-B3A5-8BEAAF4B2A2B}"/>
    <cellStyle name="Normal 5 3 5 2 3 3" xfId="5653" xr:uid="{00000000-0005-0000-0000-00006D1A0000}"/>
    <cellStyle name="Normal 5 3 5 2 3 3 2" xfId="14095" xr:uid="{53957FA1-D62C-4DB1-A39F-CA2F43701B23}"/>
    <cellStyle name="Normal 5 3 5 2 3 4" xfId="9877" xr:uid="{52544592-2689-4C41-ABCF-E5EAD7C698E7}"/>
    <cellStyle name="Normal 5 3 5 2 4" xfId="1758" xr:uid="{00000000-0005-0000-0000-00006E1A0000}"/>
    <cellStyle name="Normal 5 3 5 2 4 2" xfId="3988" xr:uid="{00000000-0005-0000-0000-00006F1A0000}"/>
    <cellStyle name="Normal 5 3 5 2 4 2 2" xfId="8211" xr:uid="{00000000-0005-0000-0000-0000701A0000}"/>
    <cellStyle name="Normal 5 3 5 2 4 2 2 2" xfId="16653" xr:uid="{5466BAE2-48B5-4AC6-BA86-FF93AB0C9626}"/>
    <cellStyle name="Normal 5 3 5 2 4 2 3" xfId="12435" xr:uid="{E104B41A-59DF-49D8-A613-176553EB14D7}"/>
    <cellStyle name="Normal 5 3 5 2 4 3" xfId="6066" xr:uid="{00000000-0005-0000-0000-0000711A0000}"/>
    <cellStyle name="Normal 5 3 5 2 4 3 2" xfId="14508" xr:uid="{FEDC9CE2-B7BB-474F-B26F-E340F0D7A263}"/>
    <cellStyle name="Normal 5 3 5 2 4 4" xfId="10290" xr:uid="{CEED40C1-944E-4132-B73D-0C4EFC69D2A5}"/>
    <cellStyle name="Normal 5 3 5 2 5" xfId="2172" xr:uid="{00000000-0005-0000-0000-0000721A0000}"/>
    <cellStyle name="Normal 5 3 5 2 5 2" xfId="4401" xr:uid="{00000000-0005-0000-0000-0000731A0000}"/>
    <cellStyle name="Normal 5 3 5 2 5 2 2" xfId="8624" xr:uid="{00000000-0005-0000-0000-0000741A0000}"/>
    <cellStyle name="Normal 5 3 5 2 5 2 2 2" xfId="17066" xr:uid="{E20252E6-2FA9-4CC0-ADB9-0A76A2B9203B}"/>
    <cellStyle name="Normal 5 3 5 2 5 2 3" xfId="12848" xr:uid="{75BBBBB9-77AD-4182-B862-995DDC961E7B}"/>
    <cellStyle name="Normal 5 3 5 2 5 3" xfId="6479" xr:uid="{00000000-0005-0000-0000-0000751A0000}"/>
    <cellStyle name="Normal 5 3 5 2 5 3 2" xfId="14921" xr:uid="{0CDB3392-C0C2-42FE-85AA-ED0F3CC81347}"/>
    <cellStyle name="Normal 5 3 5 2 5 4" xfId="10703" xr:uid="{FEBF9398-6CE3-4CC7-A2AC-B55E9EFD3EAC}"/>
    <cellStyle name="Normal 5 3 5 2 6" xfId="2608" xr:uid="{00000000-0005-0000-0000-0000761A0000}"/>
    <cellStyle name="Normal 5 3 5 2 6 2" xfId="6892" xr:uid="{00000000-0005-0000-0000-0000771A0000}"/>
    <cellStyle name="Normal 5 3 5 2 6 2 2" xfId="15334" xr:uid="{D583164B-2D52-4507-B2C8-5CD5B96F22A6}"/>
    <cellStyle name="Normal 5 3 5 2 6 3" xfId="11116" xr:uid="{EE03B4DF-01AA-42AB-AB68-73517C703E98}"/>
    <cellStyle name="Normal 5 3 5 2 7" xfId="4827" xr:uid="{00000000-0005-0000-0000-0000781A0000}"/>
    <cellStyle name="Normal 5 3 5 2 7 2" xfId="13269" xr:uid="{C05EE947-56AE-4172-8A98-31779C8DA380}"/>
    <cellStyle name="Normal 5 3 5 2 8" xfId="9051" xr:uid="{E0DD8C5B-6E83-4B68-8030-CDBE57C73190}"/>
    <cellStyle name="Normal 5 3 5 3" xfId="927" xr:uid="{00000000-0005-0000-0000-0000791A0000}"/>
    <cellStyle name="Normal 5 3 5 3 2" xfId="3161" xr:uid="{00000000-0005-0000-0000-00007A1A0000}"/>
    <cellStyle name="Normal 5 3 5 3 2 2" xfId="7384" xr:uid="{00000000-0005-0000-0000-00007B1A0000}"/>
    <cellStyle name="Normal 5 3 5 3 2 2 2" xfId="15826" xr:uid="{05D17882-FEB8-4C2C-8373-801716D6EADA}"/>
    <cellStyle name="Normal 5 3 5 3 2 3" xfId="11608" xr:uid="{2A488EE5-E170-4C48-BD1A-095647E73EBA}"/>
    <cellStyle name="Normal 5 3 5 3 3" xfId="5239" xr:uid="{00000000-0005-0000-0000-00007C1A0000}"/>
    <cellStyle name="Normal 5 3 5 3 3 2" xfId="13681" xr:uid="{069099E6-9D5F-42ED-B72E-DC1DF78D6424}"/>
    <cellStyle name="Normal 5 3 5 3 4" xfId="9463" xr:uid="{74C1F2BB-6A8F-43BB-B49D-4A4FA34BFEB2}"/>
    <cellStyle name="Normal 5 3 5 4" xfId="1344" xr:uid="{00000000-0005-0000-0000-00007D1A0000}"/>
    <cellStyle name="Normal 5 3 5 4 2" xfId="3574" xr:uid="{00000000-0005-0000-0000-00007E1A0000}"/>
    <cellStyle name="Normal 5 3 5 4 2 2" xfId="7797" xr:uid="{00000000-0005-0000-0000-00007F1A0000}"/>
    <cellStyle name="Normal 5 3 5 4 2 2 2" xfId="16239" xr:uid="{636FAEE5-AB59-43AC-B63A-3476C56583E3}"/>
    <cellStyle name="Normal 5 3 5 4 2 3" xfId="12021" xr:uid="{F016607D-9A8E-4A33-AE78-D91BFDBE510F}"/>
    <cellStyle name="Normal 5 3 5 4 3" xfId="5652" xr:uid="{00000000-0005-0000-0000-0000801A0000}"/>
    <cellStyle name="Normal 5 3 5 4 3 2" xfId="14094" xr:uid="{EC59FDFF-9006-4346-877A-7F7DEA15D464}"/>
    <cellStyle name="Normal 5 3 5 4 4" xfId="9876" xr:uid="{9F3A7053-BDEF-46DD-B680-48E86772F32F}"/>
    <cellStyle name="Normal 5 3 5 5" xfId="1757" xr:uid="{00000000-0005-0000-0000-0000811A0000}"/>
    <cellStyle name="Normal 5 3 5 5 2" xfId="3987" xr:uid="{00000000-0005-0000-0000-0000821A0000}"/>
    <cellStyle name="Normal 5 3 5 5 2 2" xfId="8210" xr:uid="{00000000-0005-0000-0000-0000831A0000}"/>
    <cellStyle name="Normal 5 3 5 5 2 2 2" xfId="16652" xr:uid="{C18AB9DD-F9FE-49C4-848A-AF0CF0215B7C}"/>
    <cellStyle name="Normal 5 3 5 5 2 3" xfId="12434" xr:uid="{3F21AEF1-0F50-4414-8E4C-C2CF3CA57F85}"/>
    <cellStyle name="Normal 5 3 5 5 3" xfId="6065" xr:uid="{00000000-0005-0000-0000-0000841A0000}"/>
    <cellStyle name="Normal 5 3 5 5 3 2" xfId="14507" xr:uid="{EEE3D793-F50D-4845-BE66-6CEEBAFC3F80}"/>
    <cellStyle name="Normal 5 3 5 5 4" xfId="10289" xr:uid="{456DFBF9-29DB-4A9C-A68B-B2740BB978BD}"/>
    <cellStyle name="Normal 5 3 5 6" xfId="2171" xr:uid="{00000000-0005-0000-0000-0000851A0000}"/>
    <cellStyle name="Normal 5 3 5 6 2" xfId="4400" xr:uid="{00000000-0005-0000-0000-0000861A0000}"/>
    <cellStyle name="Normal 5 3 5 6 2 2" xfId="8623" xr:uid="{00000000-0005-0000-0000-0000871A0000}"/>
    <cellStyle name="Normal 5 3 5 6 2 2 2" xfId="17065" xr:uid="{335B1AE4-4AEA-4CDF-8F9D-58CFD6680D2B}"/>
    <cellStyle name="Normal 5 3 5 6 2 3" xfId="12847" xr:uid="{B183B808-8B2C-4514-AA77-40C829938C1F}"/>
    <cellStyle name="Normal 5 3 5 6 3" xfId="6478" xr:uid="{00000000-0005-0000-0000-0000881A0000}"/>
    <cellStyle name="Normal 5 3 5 6 3 2" xfId="14920" xr:uid="{3F2B05A7-2943-4BAC-B25F-8342B1C5A26C}"/>
    <cellStyle name="Normal 5 3 5 6 4" xfId="10702" xr:uid="{9400F5BC-B9FB-4699-84B1-A25169C866EA}"/>
    <cellStyle name="Normal 5 3 5 7" xfId="2607" xr:uid="{00000000-0005-0000-0000-0000891A0000}"/>
    <cellStyle name="Normal 5 3 5 7 2" xfId="6891" xr:uid="{00000000-0005-0000-0000-00008A1A0000}"/>
    <cellStyle name="Normal 5 3 5 7 2 2" xfId="15333" xr:uid="{AC356E01-CD47-424D-BA07-89A33A4403AF}"/>
    <cellStyle name="Normal 5 3 5 7 3" xfId="11115" xr:uid="{2024C573-48A0-4263-AD35-15462FB6BB89}"/>
    <cellStyle name="Normal 5 3 5 8" xfId="4826" xr:uid="{00000000-0005-0000-0000-00008B1A0000}"/>
    <cellStyle name="Normal 5 3 5 8 2" xfId="13268" xr:uid="{EBDD2D58-686F-4746-AFB3-4C53C50F8AE6}"/>
    <cellStyle name="Normal 5 3 5 9" xfId="9050" xr:uid="{EF4902EC-7FD1-42FB-BB76-FFA17A73BAED}"/>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2 2 2" xfId="15828" xr:uid="{C79F7E31-70D2-4128-AF04-EF11494144D2}"/>
    <cellStyle name="Normal 5 3 6 2 2 3" xfId="11610" xr:uid="{0DAA7C76-3764-4DFB-856B-B3B34645D4BA}"/>
    <cellStyle name="Normal 5 3 6 2 3" xfId="5241" xr:uid="{00000000-0005-0000-0000-0000901A0000}"/>
    <cellStyle name="Normal 5 3 6 2 3 2" xfId="13683" xr:uid="{FB03BD1C-1658-4206-9399-FAE5E14ECB0E}"/>
    <cellStyle name="Normal 5 3 6 2 4" xfId="9465" xr:uid="{E52D5B91-9EC5-49A7-8132-9F9E7E63AB26}"/>
    <cellStyle name="Normal 5 3 6 3" xfId="1346" xr:uid="{00000000-0005-0000-0000-0000911A0000}"/>
    <cellStyle name="Normal 5 3 6 3 2" xfId="3576" xr:uid="{00000000-0005-0000-0000-0000921A0000}"/>
    <cellStyle name="Normal 5 3 6 3 2 2" xfId="7799" xr:uid="{00000000-0005-0000-0000-0000931A0000}"/>
    <cellStyle name="Normal 5 3 6 3 2 2 2" xfId="16241" xr:uid="{7AF76F93-A7EB-4E10-AE12-AB72C28E4DCD}"/>
    <cellStyle name="Normal 5 3 6 3 2 3" xfId="12023" xr:uid="{4581D23F-EF26-48D0-995B-7C814C247069}"/>
    <cellStyle name="Normal 5 3 6 3 3" xfId="5654" xr:uid="{00000000-0005-0000-0000-0000941A0000}"/>
    <cellStyle name="Normal 5 3 6 3 3 2" xfId="14096" xr:uid="{57ED1340-6DCD-4C66-84E9-15BF741BACB3}"/>
    <cellStyle name="Normal 5 3 6 3 4" xfId="9878" xr:uid="{48387DF6-37C7-4999-A245-EEC02818073A}"/>
    <cellStyle name="Normal 5 3 6 4" xfId="1759" xr:uid="{00000000-0005-0000-0000-0000951A0000}"/>
    <cellStyle name="Normal 5 3 6 4 2" xfId="3989" xr:uid="{00000000-0005-0000-0000-0000961A0000}"/>
    <cellStyle name="Normal 5 3 6 4 2 2" xfId="8212" xr:uid="{00000000-0005-0000-0000-0000971A0000}"/>
    <cellStyle name="Normal 5 3 6 4 2 2 2" xfId="16654" xr:uid="{F08753AF-6C05-47A5-BC89-4E8F67127CD4}"/>
    <cellStyle name="Normal 5 3 6 4 2 3" xfId="12436" xr:uid="{9D9CAA08-42E3-4A67-8CE0-0EEE20F9861F}"/>
    <cellStyle name="Normal 5 3 6 4 3" xfId="6067" xr:uid="{00000000-0005-0000-0000-0000981A0000}"/>
    <cellStyle name="Normal 5 3 6 4 3 2" xfId="14509" xr:uid="{0D37F88A-2855-41EC-9F17-7A76BD048997}"/>
    <cellStyle name="Normal 5 3 6 4 4" xfId="10291" xr:uid="{5FFA5545-0196-41AE-8116-D5C4E24F3D76}"/>
    <cellStyle name="Normal 5 3 6 5" xfId="2173" xr:uid="{00000000-0005-0000-0000-0000991A0000}"/>
    <cellStyle name="Normal 5 3 6 5 2" xfId="4402" xr:uid="{00000000-0005-0000-0000-00009A1A0000}"/>
    <cellStyle name="Normal 5 3 6 5 2 2" xfId="8625" xr:uid="{00000000-0005-0000-0000-00009B1A0000}"/>
    <cellStyle name="Normal 5 3 6 5 2 2 2" xfId="17067" xr:uid="{0ED213B0-2C51-4ACE-9253-86387D18F31C}"/>
    <cellStyle name="Normal 5 3 6 5 2 3" xfId="12849" xr:uid="{D91CE236-5C61-479E-B79D-40B15F708ED8}"/>
    <cellStyle name="Normal 5 3 6 5 3" xfId="6480" xr:uid="{00000000-0005-0000-0000-00009C1A0000}"/>
    <cellStyle name="Normal 5 3 6 5 3 2" xfId="14922" xr:uid="{EBF9574C-7B4E-4B7A-8C99-F9616619EE74}"/>
    <cellStyle name="Normal 5 3 6 5 4" xfId="10704" xr:uid="{8A47129D-E400-4BCF-8F7A-12ECD34B272F}"/>
    <cellStyle name="Normal 5 3 6 6" xfId="2609" xr:uid="{00000000-0005-0000-0000-00009D1A0000}"/>
    <cellStyle name="Normal 5 3 6 6 2" xfId="6893" xr:uid="{00000000-0005-0000-0000-00009E1A0000}"/>
    <cellStyle name="Normal 5 3 6 6 2 2" xfId="15335" xr:uid="{5C4F6572-9967-4D2F-BF81-C6D799545FCE}"/>
    <cellStyle name="Normal 5 3 6 6 3" xfId="11117" xr:uid="{ED8BE25A-8B49-4402-9A09-13BC88DD4716}"/>
    <cellStyle name="Normal 5 3 6 7" xfId="4828" xr:uid="{00000000-0005-0000-0000-00009F1A0000}"/>
    <cellStyle name="Normal 5 3 6 7 2" xfId="13270" xr:uid="{7DA46DBC-E516-4AC7-B10D-444A52F90C0E}"/>
    <cellStyle name="Normal 5 3 6 8" xfId="9052" xr:uid="{B4505309-4957-4AC4-90F9-B6FD91955E65}"/>
    <cellStyle name="Normal 5 3 7" xfId="913" xr:uid="{00000000-0005-0000-0000-0000A01A0000}"/>
    <cellStyle name="Normal 5 3 7 2" xfId="3148" xr:uid="{00000000-0005-0000-0000-0000A11A0000}"/>
    <cellStyle name="Normal 5 3 7 2 2" xfId="7371" xr:uid="{00000000-0005-0000-0000-0000A21A0000}"/>
    <cellStyle name="Normal 5 3 7 2 2 2" xfId="15813" xr:uid="{2DFD630A-E129-42BD-B38A-F51565257D36}"/>
    <cellStyle name="Normal 5 3 7 2 3" xfId="11595" xr:uid="{6232D89E-92E6-4A5F-A454-B851E35C0B4A}"/>
    <cellStyle name="Normal 5 3 7 3" xfId="5226" xr:uid="{00000000-0005-0000-0000-0000A31A0000}"/>
    <cellStyle name="Normal 5 3 7 3 2" xfId="13668" xr:uid="{7839AAB7-C4DE-48B8-8E33-A2B08C5823EE}"/>
    <cellStyle name="Normal 5 3 7 4" xfId="9450" xr:uid="{AAF1A833-1FF3-446E-A51B-1AABDA924770}"/>
    <cellStyle name="Normal 5 3 8" xfId="1331" xr:uid="{00000000-0005-0000-0000-0000A41A0000}"/>
    <cellStyle name="Normal 5 3 8 2" xfId="3561" xr:uid="{00000000-0005-0000-0000-0000A51A0000}"/>
    <cellStyle name="Normal 5 3 8 2 2" xfId="7784" xr:uid="{00000000-0005-0000-0000-0000A61A0000}"/>
    <cellStyle name="Normal 5 3 8 2 2 2" xfId="16226" xr:uid="{C3D68183-D881-4591-9DDC-EB1220164465}"/>
    <cellStyle name="Normal 5 3 8 2 3" xfId="12008" xr:uid="{F19613FF-80BE-4438-9933-4DF337E8A459}"/>
    <cellStyle name="Normal 5 3 8 3" xfId="5639" xr:uid="{00000000-0005-0000-0000-0000A71A0000}"/>
    <cellStyle name="Normal 5 3 8 3 2" xfId="14081" xr:uid="{71F3DC8C-AE1E-4B13-A35D-12BCCEC1865A}"/>
    <cellStyle name="Normal 5 3 8 4" xfId="9863" xr:uid="{56C4CFE7-CE3F-4678-BE3D-917F0E4ED390}"/>
    <cellStyle name="Normal 5 3 9" xfId="1744" xr:uid="{00000000-0005-0000-0000-0000A81A0000}"/>
    <cellStyle name="Normal 5 3 9 2" xfId="3974" xr:uid="{00000000-0005-0000-0000-0000A91A0000}"/>
    <cellStyle name="Normal 5 3 9 2 2" xfId="8197" xr:uid="{00000000-0005-0000-0000-0000AA1A0000}"/>
    <cellStyle name="Normal 5 3 9 2 2 2" xfId="16639" xr:uid="{AE23497D-66FF-4B01-B82D-5CB82504DFC8}"/>
    <cellStyle name="Normal 5 3 9 2 3" xfId="12421" xr:uid="{67F9B868-669F-4E9E-8061-F323CAD375B2}"/>
    <cellStyle name="Normal 5 3 9 3" xfId="6052" xr:uid="{00000000-0005-0000-0000-0000AB1A0000}"/>
    <cellStyle name="Normal 5 3 9 3 2" xfId="14494" xr:uid="{7DB663A6-3A08-41C0-AD9B-E0F6EC654609}"/>
    <cellStyle name="Normal 5 3 9 4" xfId="10276" xr:uid="{19EF769B-52BB-481F-A5B2-51B6FBAECDE7}"/>
    <cellStyle name="Normal 5 4" xfId="456" xr:uid="{00000000-0005-0000-0000-0000AC1A0000}"/>
    <cellStyle name="Normal 5 4 10" xfId="4829" xr:uid="{00000000-0005-0000-0000-0000AD1A0000}"/>
    <cellStyle name="Normal 5 4 10 2" xfId="13271" xr:uid="{1038E612-B957-4D2D-9016-B37685FA8E56}"/>
    <cellStyle name="Normal 5 4 11" xfId="9053" xr:uid="{F9AC6990-7C43-4407-A2B7-898A34B923BA}"/>
    <cellStyle name="Normal 5 4 2" xfId="457" xr:uid="{00000000-0005-0000-0000-0000AE1A0000}"/>
    <cellStyle name="Normal 5 4 2 10" xfId="9054" xr:uid="{F6C827B5-4785-4A22-9E6B-72619069CFF1}"/>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2 2 2" xfId="15832" xr:uid="{F52E2395-EA9B-4693-8A0F-D4FBC15AD3E5}"/>
    <cellStyle name="Normal 5 4 2 2 2 2 2 3" xfId="11614" xr:uid="{C3AA7C1C-2650-4E03-AB28-03575A40D152}"/>
    <cellStyle name="Normal 5 4 2 2 2 2 3" xfId="5245" xr:uid="{00000000-0005-0000-0000-0000B41A0000}"/>
    <cellStyle name="Normal 5 4 2 2 2 2 3 2" xfId="13687" xr:uid="{BBEE92EC-19A1-4223-8646-549E5EC66267}"/>
    <cellStyle name="Normal 5 4 2 2 2 2 4" xfId="9469" xr:uid="{421305E7-9F09-4E3F-A596-003499FA5735}"/>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2 2 2" xfId="16245" xr:uid="{665ABE22-A3B5-4844-B535-452DE0774095}"/>
    <cellStyle name="Normal 5 4 2 2 2 3 2 3" xfId="12027" xr:uid="{31887D6D-6C79-4818-B576-F8D8C7E794C1}"/>
    <cellStyle name="Normal 5 4 2 2 2 3 3" xfId="5658" xr:uid="{00000000-0005-0000-0000-0000B81A0000}"/>
    <cellStyle name="Normal 5 4 2 2 2 3 3 2" xfId="14100" xr:uid="{5E6113CA-F147-4D4C-8CD8-B25B6A0075E1}"/>
    <cellStyle name="Normal 5 4 2 2 2 3 4" xfId="9882" xr:uid="{3B955F27-956F-4A66-BC7F-0B3CA1916C45}"/>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2 2 2" xfId="16658" xr:uid="{CE99F361-D7EF-44B8-BEC4-CE77584D1604}"/>
    <cellStyle name="Normal 5 4 2 2 2 4 2 3" xfId="12440" xr:uid="{2B2B0636-6ACD-4875-8E13-029F32D870E0}"/>
    <cellStyle name="Normal 5 4 2 2 2 4 3" xfId="6071" xr:uid="{00000000-0005-0000-0000-0000BC1A0000}"/>
    <cellStyle name="Normal 5 4 2 2 2 4 3 2" xfId="14513" xr:uid="{E9E40712-146F-48D6-A3AC-640691420374}"/>
    <cellStyle name="Normal 5 4 2 2 2 4 4" xfId="10295" xr:uid="{229F4DFB-0157-47BD-BC2A-4CBC1D4FB5D4}"/>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2 2 2" xfId="17071" xr:uid="{BF13B3AB-73C2-4A99-A0E4-B77FF5DACED4}"/>
    <cellStyle name="Normal 5 4 2 2 2 5 2 3" xfId="12853" xr:uid="{EDD60D9F-41B5-4872-ACB0-2F634C486CC2}"/>
    <cellStyle name="Normal 5 4 2 2 2 5 3" xfId="6484" xr:uid="{00000000-0005-0000-0000-0000C01A0000}"/>
    <cellStyle name="Normal 5 4 2 2 2 5 3 2" xfId="14926" xr:uid="{7EE3D0E2-5B4D-44D8-8D9A-31FE094C0A9F}"/>
    <cellStyle name="Normal 5 4 2 2 2 5 4" xfId="10708" xr:uid="{746DDDC9-9438-47E7-A0DD-99A991F93CDF}"/>
    <cellStyle name="Normal 5 4 2 2 2 6" xfId="2613" xr:uid="{00000000-0005-0000-0000-0000C11A0000}"/>
    <cellStyle name="Normal 5 4 2 2 2 6 2" xfId="6897" xr:uid="{00000000-0005-0000-0000-0000C21A0000}"/>
    <cellStyle name="Normal 5 4 2 2 2 6 2 2" xfId="15339" xr:uid="{B0F23890-413C-4E7E-8CCC-417E96A90543}"/>
    <cellStyle name="Normal 5 4 2 2 2 6 3" xfId="11121" xr:uid="{2280DA0C-72E4-479E-AA5E-643B71607ABF}"/>
    <cellStyle name="Normal 5 4 2 2 2 7" xfId="4832" xr:uid="{00000000-0005-0000-0000-0000C31A0000}"/>
    <cellStyle name="Normal 5 4 2 2 2 7 2" xfId="13274" xr:uid="{25CFC62E-B0E8-4735-8361-13E1A76ABD9C}"/>
    <cellStyle name="Normal 5 4 2 2 2 8" xfId="9056" xr:uid="{8B64E1A4-3E72-45E7-A758-7517CF4952BA}"/>
    <cellStyle name="Normal 5 4 2 2 3" xfId="932" xr:uid="{00000000-0005-0000-0000-0000C41A0000}"/>
    <cellStyle name="Normal 5 4 2 2 3 2" xfId="3166" xr:uid="{00000000-0005-0000-0000-0000C51A0000}"/>
    <cellStyle name="Normal 5 4 2 2 3 2 2" xfId="7389" xr:uid="{00000000-0005-0000-0000-0000C61A0000}"/>
    <cellStyle name="Normal 5 4 2 2 3 2 2 2" xfId="15831" xr:uid="{86D082F9-8DBB-44B8-8BFF-30B5F58FEA32}"/>
    <cellStyle name="Normal 5 4 2 2 3 2 3" xfId="11613" xr:uid="{9A36027B-566B-4451-9127-73F631E3101F}"/>
    <cellStyle name="Normal 5 4 2 2 3 3" xfId="5244" xr:uid="{00000000-0005-0000-0000-0000C71A0000}"/>
    <cellStyle name="Normal 5 4 2 2 3 3 2" xfId="13686" xr:uid="{0972D379-2F95-4368-9E18-53BB3591FFC9}"/>
    <cellStyle name="Normal 5 4 2 2 3 4" xfId="9468" xr:uid="{D11A1C88-BCD1-41A4-BE94-59F1D3374A59}"/>
    <cellStyle name="Normal 5 4 2 2 4" xfId="1349" xr:uid="{00000000-0005-0000-0000-0000C81A0000}"/>
    <cellStyle name="Normal 5 4 2 2 4 2" xfId="3579" xr:uid="{00000000-0005-0000-0000-0000C91A0000}"/>
    <cellStyle name="Normal 5 4 2 2 4 2 2" xfId="7802" xr:uid="{00000000-0005-0000-0000-0000CA1A0000}"/>
    <cellStyle name="Normal 5 4 2 2 4 2 2 2" xfId="16244" xr:uid="{16FCD8EF-0D12-4761-BFDE-BD5E43EE6BB7}"/>
    <cellStyle name="Normal 5 4 2 2 4 2 3" xfId="12026" xr:uid="{E647DB93-3823-411B-BBC5-6B573E0195FE}"/>
    <cellStyle name="Normal 5 4 2 2 4 3" xfId="5657" xr:uid="{00000000-0005-0000-0000-0000CB1A0000}"/>
    <cellStyle name="Normal 5 4 2 2 4 3 2" xfId="14099" xr:uid="{3F64C098-05B5-4FDF-85F2-6A237F98B4E3}"/>
    <cellStyle name="Normal 5 4 2 2 4 4" xfId="9881" xr:uid="{E8C07964-9030-4329-B6B3-2773F0E11569}"/>
    <cellStyle name="Normal 5 4 2 2 5" xfId="1762" xr:uid="{00000000-0005-0000-0000-0000CC1A0000}"/>
    <cellStyle name="Normal 5 4 2 2 5 2" xfId="3992" xr:uid="{00000000-0005-0000-0000-0000CD1A0000}"/>
    <cellStyle name="Normal 5 4 2 2 5 2 2" xfId="8215" xr:uid="{00000000-0005-0000-0000-0000CE1A0000}"/>
    <cellStyle name="Normal 5 4 2 2 5 2 2 2" xfId="16657" xr:uid="{561BF392-6EC9-4E05-BD69-3C641CA0D1A1}"/>
    <cellStyle name="Normal 5 4 2 2 5 2 3" xfId="12439" xr:uid="{AADCF3FB-04AC-4DDA-BB24-CABAB7ABFB26}"/>
    <cellStyle name="Normal 5 4 2 2 5 3" xfId="6070" xr:uid="{00000000-0005-0000-0000-0000CF1A0000}"/>
    <cellStyle name="Normal 5 4 2 2 5 3 2" xfId="14512" xr:uid="{AD312E94-A4FF-4452-B115-CD7D882D3405}"/>
    <cellStyle name="Normal 5 4 2 2 5 4" xfId="10294" xr:uid="{5A1B1A81-6456-491A-82E4-EB95000CCBA3}"/>
    <cellStyle name="Normal 5 4 2 2 6" xfId="2176" xr:uid="{00000000-0005-0000-0000-0000D01A0000}"/>
    <cellStyle name="Normal 5 4 2 2 6 2" xfId="4405" xr:uid="{00000000-0005-0000-0000-0000D11A0000}"/>
    <cellStyle name="Normal 5 4 2 2 6 2 2" xfId="8628" xr:uid="{00000000-0005-0000-0000-0000D21A0000}"/>
    <cellStyle name="Normal 5 4 2 2 6 2 2 2" xfId="17070" xr:uid="{43667644-EBD6-4221-B24F-6F82C8EEEFF3}"/>
    <cellStyle name="Normal 5 4 2 2 6 2 3" xfId="12852" xr:uid="{4FA4D80F-5368-44CD-9D8E-A4DCAF9A1543}"/>
    <cellStyle name="Normal 5 4 2 2 6 3" xfId="6483" xr:uid="{00000000-0005-0000-0000-0000D31A0000}"/>
    <cellStyle name="Normal 5 4 2 2 6 3 2" xfId="14925" xr:uid="{6F9903FE-D4B6-44A9-B6D8-D64EBD54B4AF}"/>
    <cellStyle name="Normal 5 4 2 2 6 4" xfId="10707" xr:uid="{DD38B3BA-D4DE-48D9-8188-3BE6DB380309}"/>
    <cellStyle name="Normal 5 4 2 2 7" xfId="2612" xr:uid="{00000000-0005-0000-0000-0000D41A0000}"/>
    <cellStyle name="Normal 5 4 2 2 7 2" xfId="6896" xr:uid="{00000000-0005-0000-0000-0000D51A0000}"/>
    <cellStyle name="Normal 5 4 2 2 7 2 2" xfId="15338" xr:uid="{585A6019-8B82-47C0-9DE4-8C614471A900}"/>
    <cellStyle name="Normal 5 4 2 2 7 3" xfId="11120" xr:uid="{287ED97B-7442-4947-8C9F-17F1C550192A}"/>
    <cellStyle name="Normal 5 4 2 2 8" xfId="4831" xr:uid="{00000000-0005-0000-0000-0000D61A0000}"/>
    <cellStyle name="Normal 5 4 2 2 8 2" xfId="13273" xr:uid="{41F9B043-DAE9-4C1B-AA1A-C439BC8309C2}"/>
    <cellStyle name="Normal 5 4 2 2 9" xfId="9055" xr:uid="{87842D39-4142-4958-8E97-D1B1BD350867}"/>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2 2 2" xfId="15833" xr:uid="{1CA79205-6ADD-4B7C-8388-27A449939A81}"/>
    <cellStyle name="Normal 5 4 2 3 2 2 3" xfId="11615" xr:uid="{95642C9B-D743-46CD-996B-BDA39DDCF7E9}"/>
    <cellStyle name="Normal 5 4 2 3 2 3" xfId="5246" xr:uid="{00000000-0005-0000-0000-0000DB1A0000}"/>
    <cellStyle name="Normal 5 4 2 3 2 3 2" xfId="13688" xr:uid="{455AACD1-7B56-4FBF-992D-874BD3D5FC34}"/>
    <cellStyle name="Normal 5 4 2 3 2 4" xfId="9470" xr:uid="{D1B4D38E-FD24-4FF0-B8E2-F292F01DC819}"/>
    <cellStyle name="Normal 5 4 2 3 3" xfId="1351" xr:uid="{00000000-0005-0000-0000-0000DC1A0000}"/>
    <cellStyle name="Normal 5 4 2 3 3 2" xfId="3581" xr:uid="{00000000-0005-0000-0000-0000DD1A0000}"/>
    <cellStyle name="Normal 5 4 2 3 3 2 2" xfId="7804" xr:uid="{00000000-0005-0000-0000-0000DE1A0000}"/>
    <cellStyle name="Normal 5 4 2 3 3 2 2 2" xfId="16246" xr:uid="{1FE0FA1F-A5F7-4C65-9017-EB55306B9CF0}"/>
    <cellStyle name="Normal 5 4 2 3 3 2 3" xfId="12028" xr:uid="{6AB5B989-AECA-4030-BC73-47B5B940E57F}"/>
    <cellStyle name="Normal 5 4 2 3 3 3" xfId="5659" xr:uid="{00000000-0005-0000-0000-0000DF1A0000}"/>
    <cellStyle name="Normal 5 4 2 3 3 3 2" xfId="14101" xr:uid="{2A09FFA4-4E84-4BB1-BCA8-F7A3694C404B}"/>
    <cellStyle name="Normal 5 4 2 3 3 4" xfId="9883" xr:uid="{DED91DA8-E15E-4723-BF8B-2F929A3B89AC}"/>
    <cellStyle name="Normal 5 4 2 3 4" xfId="1764" xr:uid="{00000000-0005-0000-0000-0000E01A0000}"/>
    <cellStyle name="Normal 5 4 2 3 4 2" xfId="3994" xr:uid="{00000000-0005-0000-0000-0000E11A0000}"/>
    <cellStyle name="Normal 5 4 2 3 4 2 2" xfId="8217" xr:uid="{00000000-0005-0000-0000-0000E21A0000}"/>
    <cellStyle name="Normal 5 4 2 3 4 2 2 2" xfId="16659" xr:uid="{B7542574-6774-4E51-8D71-86633BF5AB25}"/>
    <cellStyle name="Normal 5 4 2 3 4 2 3" xfId="12441" xr:uid="{445EE9E8-E900-4C13-8465-6FF300234844}"/>
    <cellStyle name="Normal 5 4 2 3 4 3" xfId="6072" xr:uid="{00000000-0005-0000-0000-0000E31A0000}"/>
    <cellStyle name="Normal 5 4 2 3 4 3 2" xfId="14514" xr:uid="{EEFADF5A-9D3A-44CC-A676-21FA9A8D2EBB}"/>
    <cellStyle name="Normal 5 4 2 3 4 4" xfId="10296" xr:uid="{33A011C9-43D8-4091-98F2-13B7EB515BC0}"/>
    <cellStyle name="Normal 5 4 2 3 5" xfId="2178" xr:uid="{00000000-0005-0000-0000-0000E41A0000}"/>
    <cellStyle name="Normal 5 4 2 3 5 2" xfId="4407" xr:uid="{00000000-0005-0000-0000-0000E51A0000}"/>
    <cellStyle name="Normal 5 4 2 3 5 2 2" xfId="8630" xr:uid="{00000000-0005-0000-0000-0000E61A0000}"/>
    <cellStyle name="Normal 5 4 2 3 5 2 2 2" xfId="17072" xr:uid="{6133F388-1891-4D8C-8940-F866CCD825F0}"/>
    <cellStyle name="Normal 5 4 2 3 5 2 3" xfId="12854" xr:uid="{ED8166EB-5962-4A13-853F-85B980113874}"/>
    <cellStyle name="Normal 5 4 2 3 5 3" xfId="6485" xr:uid="{00000000-0005-0000-0000-0000E71A0000}"/>
    <cellStyle name="Normal 5 4 2 3 5 3 2" xfId="14927" xr:uid="{398BD820-F01B-435D-8571-C8AC9237B02D}"/>
    <cellStyle name="Normal 5 4 2 3 5 4" xfId="10709" xr:uid="{E05673B5-EA0D-4B16-A89A-792A8B4D81D9}"/>
    <cellStyle name="Normal 5 4 2 3 6" xfId="2614" xr:uid="{00000000-0005-0000-0000-0000E81A0000}"/>
    <cellStyle name="Normal 5 4 2 3 6 2" xfId="6898" xr:uid="{00000000-0005-0000-0000-0000E91A0000}"/>
    <cellStyle name="Normal 5 4 2 3 6 2 2" xfId="15340" xr:uid="{99FA48EA-30D8-4E61-BFD4-5643947B0790}"/>
    <cellStyle name="Normal 5 4 2 3 6 3" xfId="11122" xr:uid="{61B2D687-DA40-4E7F-9E01-493BAA740A04}"/>
    <cellStyle name="Normal 5 4 2 3 7" xfId="4833" xr:uid="{00000000-0005-0000-0000-0000EA1A0000}"/>
    <cellStyle name="Normal 5 4 2 3 7 2" xfId="13275" xr:uid="{201E587D-52E3-4A98-A416-5295FEEF887D}"/>
    <cellStyle name="Normal 5 4 2 3 8" xfId="9057" xr:uid="{9B089903-5179-4696-A10C-5E8CB7353F26}"/>
    <cellStyle name="Normal 5 4 2 4" xfId="931" xr:uid="{00000000-0005-0000-0000-0000EB1A0000}"/>
    <cellStyle name="Normal 5 4 2 4 2" xfId="3165" xr:uid="{00000000-0005-0000-0000-0000EC1A0000}"/>
    <cellStyle name="Normal 5 4 2 4 2 2" xfId="7388" xr:uid="{00000000-0005-0000-0000-0000ED1A0000}"/>
    <cellStyle name="Normal 5 4 2 4 2 2 2" xfId="15830" xr:uid="{519DAC2C-A4B7-4FCB-B1BB-542CEFC84988}"/>
    <cellStyle name="Normal 5 4 2 4 2 3" xfId="11612" xr:uid="{36D13E7E-876F-4B08-8639-6F9EDA6743DA}"/>
    <cellStyle name="Normal 5 4 2 4 3" xfId="5243" xr:uid="{00000000-0005-0000-0000-0000EE1A0000}"/>
    <cellStyle name="Normal 5 4 2 4 3 2" xfId="13685" xr:uid="{1D3B7705-CE4E-4A21-AA1E-6306E0CB018F}"/>
    <cellStyle name="Normal 5 4 2 4 4" xfId="9467" xr:uid="{32BDF90B-EF35-484D-B32A-64051B0CDE0B}"/>
    <cellStyle name="Normal 5 4 2 5" xfId="1348" xr:uid="{00000000-0005-0000-0000-0000EF1A0000}"/>
    <cellStyle name="Normal 5 4 2 5 2" xfId="3578" xr:uid="{00000000-0005-0000-0000-0000F01A0000}"/>
    <cellStyle name="Normal 5 4 2 5 2 2" xfId="7801" xr:uid="{00000000-0005-0000-0000-0000F11A0000}"/>
    <cellStyle name="Normal 5 4 2 5 2 2 2" xfId="16243" xr:uid="{5BA5EC60-EDBE-486D-B3A6-6993AA9D77F6}"/>
    <cellStyle name="Normal 5 4 2 5 2 3" xfId="12025" xr:uid="{3C405F59-50BC-4CF3-B433-A8A9E753826B}"/>
    <cellStyle name="Normal 5 4 2 5 3" xfId="5656" xr:uid="{00000000-0005-0000-0000-0000F21A0000}"/>
    <cellStyle name="Normal 5 4 2 5 3 2" xfId="14098" xr:uid="{6CACAEE5-1AA5-4DEA-BA98-927F7A310A65}"/>
    <cellStyle name="Normal 5 4 2 5 4" xfId="9880" xr:uid="{46C1C498-F415-4BBC-921B-82C74FA4B49D}"/>
    <cellStyle name="Normal 5 4 2 6" xfId="1761" xr:uid="{00000000-0005-0000-0000-0000F31A0000}"/>
    <cellStyle name="Normal 5 4 2 6 2" xfId="3991" xr:uid="{00000000-0005-0000-0000-0000F41A0000}"/>
    <cellStyle name="Normal 5 4 2 6 2 2" xfId="8214" xr:uid="{00000000-0005-0000-0000-0000F51A0000}"/>
    <cellStyle name="Normal 5 4 2 6 2 2 2" xfId="16656" xr:uid="{F350E141-90CB-4371-9CAC-39A2AA91C26D}"/>
    <cellStyle name="Normal 5 4 2 6 2 3" xfId="12438" xr:uid="{D05C0A5F-C0DE-467B-82EF-ED77D325DAD1}"/>
    <cellStyle name="Normal 5 4 2 6 3" xfId="6069" xr:uid="{00000000-0005-0000-0000-0000F61A0000}"/>
    <cellStyle name="Normal 5 4 2 6 3 2" xfId="14511" xr:uid="{6702912F-27C8-46D8-8A9F-58AD7EE5D1CC}"/>
    <cellStyle name="Normal 5 4 2 6 4" xfId="10293" xr:uid="{2D8417C5-C6CA-4AC9-B410-A148B0565A2A}"/>
    <cellStyle name="Normal 5 4 2 7" xfId="2175" xr:uid="{00000000-0005-0000-0000-0000F71A0000}"/>
    <cellStyle name="Normal 5 4 2 7 2" xfId="4404" xr:uid="{00000000-0005-0000-0000-0000F81A0000}"/>
    <cellStyle name="Normal 5 4 2 7 2 2" xfId="8627" xr:uid="{00000000-0005-0000-0000-0000F91A0000}"/>
    <cellStyle name="Normal 5 4 2 7 2 2 2" xfId="17069" xr:uid="{ED43B4AD-447D-4CCB-8C15-5B7F0A595638}"/>
    <cellStyle name="Normal 5 4 2 7 2 3" xfId="12851" xr:uid="{3A98EAAA-75FD-4489-B694-D1C674F77C9A}"/>
    <cellStyle name="Normal 5 4 2 7 3" xfId="6482" xr:uid="{00000000-0005-0000-0000-0000FA1A0000}"/>
    <cellStyle name="Normal 5 4 2 7 3 2" xfId="14924" xr:uid="{69A0BC24-8DED-4F9B-BDBD-B105EF4544AC}"/>
    <cellStyle name="Normal 5 4 2 7 4" xfId="10706" xr:uid="{C27E8BB5-AD48-4A4D-98B9-91F72F6EB956}"/>
    <cellStyle name="Normal 5 4 2 8" xfId="2611" xr:uid="{00000000-0005-0000-0000-0000FB1A0000}"/>
    <cellStyle name="Normal 5 4 2 8 2" xfId="6895" xr:uid="{00000000-0005-0000-0000-0000FC1A0000}"/>
    <cellStyle name="Normal 5 4 2 8 2 2" xfId="15337" xr:uid="{1F7E2546-B535-4640-92C0-D2C978D2682C}"/>
    <cellStyle name="Normal 5 4 2 8 3" xfId="11119" xr:uid="{7CA7FD61-327B-457B-94C7-A3339B7E87B5}"/>
    <cellStyle name="Normal 5 4 2 9" xfId="4830" xr:uid="{00000000-0005-0000-0000-0000FD1A0000}"/>
    <cellStyle name="Normal 5 4 2 9 2" xfId="13272" xr:uid="{21F94C7A-1686-49A5-AD51-ADC62DEC8322}"/>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2 2 2" xfId="15835" xr:uid="{0F197EEC-5F4C-4060-B0AD-15E95AB15089}"/>
    <cellStyle name="Normal 5 4 3 2 2 2 3" xfId="11617" xr:uid="{52340FD7-4ED5-4009-8A0C-C23FB996CD4B}"/>
    <cellStyle name="Normal 5 4 3 2 2 3" xfId="5248" xr:uid="{00000000-0005-0000-0000-0000031B0000}"/>
    <cellStyle name="Normal 5 4 3 2 2 3 2" xfId="13690" xr:uid="{C49136AA-2F75-4D26-A518-E4789314949E}"/>
    <cellStyle name="Normal 5 4 3 2 2 4" xfId="9472" xr:uid="{0FBBBFF0-A0AB-4BCC-89D5-F09DA3B0C84E}"/>
    <cellStyle name="Normal 5 4 3 2 3" xfId="1353" xr:uid="{00000000-0005-0000-0000-0000041B0000}"/>
    <cellStyle name="Normal 5 4 3 2 3 2" xfId="3583" xr:uid="{00000000-0005-0000-0000-0000051B0000}"/>
    <cellStyle name="Normal 5 4 3 2 3 2 2" xfId="7806" xr:uid="{00000000-0005-0000-0000-0000061B0000}"/>
    <cellStyle name="Normal 5 4 3 2 3 2 2 2" xfId="16248" xr:uid="{1661F2B5-90FE-4907-86FE-9773CDFDCA82}"/>
    <cellStyle name="Normal 5 4 3 2 3 2 3" xfId="12030" xr:uid="{3B5387C0-BC40-468F-BEB3-70B6C4709556}"/>
    <cellStyle name="Normal 5 4 3 2 3 3" xfId="5661" xr:uid="{00000000-0005-0000-0000-0000071B0000}"/>
    <cellStyle name="Normal 5 4 3 2 3 3 2" xfId="14103" xr:uid="{609768B9-396D-406D-89C3-6322A0A27A6E}"/>
    <cellStyle name="Normal 5 4 3 2 3 4" xfId="9885" xr:uid="{85A15EB0-E1B8-4CC6-884B-C97A9D4C5998}"/>
    <cellStyle name="Normal 5 4 3 2 4" xfId="1766" xr:uid="{00000000-0005-0000-0000-0000081B0000}"/>
    <cellStyle name="Normal 5 4 3 2 4 2" xfId="3996" xr:uid="{00000000-0005-0000-0000-0000091B0000}"/>
    <cellStyle name="Normal 5 4 3 2 4 2 2" xfId="8219" xr:uid="{00000000-0005-0000-0000-00000A1B0000}"/>
    <cellStyle name="Normal 5 4 3 2 4 2 2 2" xfId="16661" xr:uid="{3C023D3A-B605-4913-BA40-F1CE980754F6}"/>
    <cellStyle name="Normal 5 4 3 2 4 2 3" xfId="12443" xr:uid="{5B7D0ECB-E83F-4ADE-B9E2-0885A3840CB6}"/>
    <cellStyle name="Normal 5 4 3 2 4 3" xfId="6074" xr:uid="{00000000-0005-0000-0000-00000B1B0000}"/>
    <cellStyle name="Normal 5 4 3 2 4 3 2" xfId="14516" xr:uid="{0CAE1362-3D76-40DF-B3E2-671D6D03B4EF}"/>
    <cellStyle name="Normal 5 4 3 2 4 4" xfId="10298" xr:uid="{68F70071-1BF9-4EA0-9326-619709D8952D}"/>
    <cellStyle name="Normal 5 4 3 2 5" xfId="2180" xr:uid="{00000000-0005-0000-0000-00000C1B0000}"/>
    <cellStyle name="Normal 5 4 3 2 5 2" xfId="4409" xr:uid="{00000000-0005-0000-0000-00000D1B0000}"/>
    <cellStyle name="Normal 5 4 3 2 5 2 2" xfId="8632" xr:uid="{00000000-0005-0000-0000-00000E1B0000}"/>
    <cellStyle name="Normal 5 4 3 2 5 2 2 2" xfId="17074" xr:uid="{3E59E29A-B25D-4BAD-B638-E51AEC3FF484}"/>
    <cellStyle name="Normal 5 4 3 2 5 2 3" xfId="12856" xr:uid="{61D6A1FD-F7DB-41FE-BCF4-F2E3F706D9AE}"/>
    <cellStyle name="Normal 5 4 3 2 5 3" xfId="6487" xr:uid="{00000000-0005-0000-0000-00000F1B0000}"/>
    <cellStyle name="Normal 5 4 3 2 5 3 2" xfId="14929" xr:uid="{84473B29-FCA8-4F0C-B32D-1BA37FFE8E2E}"/>
    <cellStyle name="Normal 5 4 3 2 5 4" xfId="10711" xr:uid="{F1C13A3D-D896-4471-A181-A48D35F5D013}"/>
    <cellStyle name="Normal 5 4 3 2 6" xfId="2616" xr:uid="{00000000-0005-0000-0000-0000101B0000}"/>
    <cellStyle name="Normal 5 4 3 2 6 2" xfId="6900" xr:uid="{00000000-0005-0000-0000-0000111B0000}"/>
    <cellStyle name="Normal 5 4 3 2 6 2 2" xfId="15342" xr:uid="{0BB4DFAD-74F5-465D-BEA5-F6A99F9AB61E}"/>
    <cellStyle name="Normal 5 4 3 2 6 3" xfId="11124" xr:uid="{B9DB6718-0E8C-4E1E-B3A1-E986B51AA6BE}"/>
    <cellStyle name="Normal 5 4 3 2 7" xfId="4835" xr:uid="{00000000-0005-0000-0000-0000121B0000}"/>
    <cellStyle name="Normal 5 4 3 2 7 2" xfId="13277" xr:uid="{43FD6D1A-1CCF-480C-9EE9-D0CEB7E5C3D7}"/>
    <cellStyle name="Normal 5 4 3 2 8" xfId="9059" xr:uid="{E2A66ABA-5B10-4ED0-9159-D3C2527B5E77}"/>
    <cellStyle name="Normal 5 4 3 3" xfId="935" xr:uid="{00000000-0005-0000-0000-0000131B0000}"/>
    <cellStyle name="Normal 5 4 3 3 2" xfId="3169" xr:uid="{00000000-0005-0000-0000-0000141B0000}"/>
    <cellStyle name="Normal 5 4 3 3 2 2" xfId="7392" xr:uid="{00000000-0005-0000-0000-0000151B0000}"/>
    <cellStyle name="Normal 5 4 3 3 2 2 2" xfId="15834" xr:uid="{9BF6039B-B1D5-440B-962C-B3F882A37D08}"/>
    <cellStyle name="Normal 5 4 3 3 2 3" xfId="11616" xr:uid="{828FC2BD-12AC-4C2D-B26F-68159B1306F3}"/>
    <cellStyle name="Normal 5 4 3 3 3" xfId="5247" xr:uid="{00000000-0005-0000-0000-0000161B0000}"/>
    <cellStyle name="Normal 5 4 3 3 3 2" xfId="13689" xr:uid="{5DFB8B48-F8B8-4F51-B7D3-E2A8204A0B00}"/>
    <cellStyle name="Normal 5 4 3 3 4" xfId="9471" xr:uid="{0F872EAD-2155-4600-9D42-D0C345F8B288}"/>
    <cellStyle name="Normal 5 4 3 4" xfId="1352" xr:uid="{00000000-0005-0000-0000-0000171B0000}"/>
    <cellStyle name="Normal 5 4 3 4 2" xfId="3582" xr:uid="{00000000-0005-0000-0000-0000181B0000}"/>
    <cellStyle name="Normal 5 4 3 4 2 2" xfId="7805" xr:uid="{00000000-0005-0000-0000-0000191B0000}"/>
    <cellStyle name="Normal 5 4 3 4 2 2 2" xfId="16247" xr:uid="{0715303F-F0A6-4386-A210-FD41A5F556DB}"/>
    <cellStyle name="Normal 5 4 3 4 2 3" xfId="12029" xr:uid="{0A59676F-E721-43CC-8E7F-ED6276A55A67}"/>
    <cellStyle name="Normal 5 4 3 4 3" xfId="5660" xr:uid="{00000000-0005-0000-0000-00001A1B0000}"/>
    <cellStyle name="Normal 5 4 3 4 3 2" xfId="14102" xr:uid="{BBFB300D-E1BC-4C8A-B62E-EC2DFA965C43}"/>
    <cellStyle name="Normal 5 4 3 4 4" xfId="9884" xr:uid="{E6E4F547-B6E7-4A59-B993-D4119D321941}"/>
    <cellStyle name="Normal 5 4 3 5" xfId="1765" xr:uid="{00000000-0005-0000-0000-00001B1B0000}"/>
    <cellStyle name="Normal 5 4 3 5 2" xfId="3995" xr:uid="{00000000-0005-0000-0000-00001C1B0000}"/>
    <cellStyle name="Normal 5 4 3 5 2 2" xfId="8218" xr:uid="{00000000-0005-0000-0000-00001D1B0000}"/>
    <cellStyle name="Normal 5 4 3 5 2 2 2" xfId="16660" xr:uid="{F1F66905-7ECA-4AA2-B757-96F70C741B63}"/>
    <cellStyle name="Normal 5 4 3 5 2 3" xfId="12442" xr:uid="{C92579FF-1993-4241-91DE-23D8FED26BC6}"/>
    <cellStyle name="Normal 5 4 3 5 3" xfId="6073" xr:uid="{00000000-0005-0000-0000-00001E1B0000}"/>
    <cellStyle name="Normal 5 4 3 5 3 2" xfId="14515" xr:uid="{1A71397B-E4D9-4321-BD3C-1E0CAED9172F}"/>
    <cellStyle name="Normal 5 4 3 5 4" xfId="10297" xr:uid="{4603CC66-8582-4171-8091-5335228F25CC}"/>
    <cellStyle name="Normal 5 4 3 6" xfId="2179" xr:uid="{00000000-0005-0000-0000-00001F1B0000}"/>
    <cellStyle name="Normal 5 4 3 6 2" xfId="4408" xr:uid="{00000000-0005-0000-0000-0000201B0000}"/>
    <cellStyle name="Normal 5 4 3 6 2 2" xfId="8631" xr:uid="{00000000-0005-0000-0000-0000211B0000}"/>
    <cellStyle name="Normal 5 4 3 6 2 2 2" xfId="17073" xr:uid="{7F7D1902-6828-44D5-AABA-83EC22F157E9}"/>
    <cellStyle name="Normal 5 4 3 6 2 3" xfId="12855" xr:uid="{B1F008E6-A279-4800-995A-136F1DDB06B4}"/>
    <cellStyle name="Normal 5 4 3 6 3" xfId="6486" xr:uid="{00000000-0005-0000-0000-0000221B0000}"/>
    <cellStyle name="Normal 5 4 3 6 3 2" xfId="14928" xr:uid="{81B610EC-40FC-4274-AD87-3958CAA59314}"/>
    <cellStyle name="Normal 5 4 3 6 4" xfId="10710" xr:uid="{85813524-0FD7-4688-B6F0-8AE8EC539CBB}"/>
    <cellStyle name="Normal 5 4 3 7" xfId="2615" xr:uid="{00000000-0005-0000-0000-0000231B0000}"/>
    <cellStyle name="Normal 5 4 3 7 2" xfId="6899" xr:uid="{00000000-0005-0000-0000-0000241B0000}"/>
    <cellStyle name="Normal 5 4 3 7 2 2" xfId="15341" xr:uid="{518E7A00-8CA9-467F-834B-7676C359EE52}"/>
    <cellStyle name="Normal 5 4 3 7 3" xfId="11123" xr:uid="{BF0026B7-564F-4EE6-968C-6B1C928A7D59}"/>
    <cellStyle name="Normal 5 4 3 8" xfId="4834" xr:uid="{00000000-0005-0000-0000-0000251B0000}"/>
    <cellStyle name="Normal 5 4 3 8 2" xfId="13276" xr:uid="{857C22A7-C824-4BFB-9732-C46A1750EE69}"/>
    <cellStyle name="Normal 5 4 3 9" xfId="9058" xr:uid="{C91BC75A-EB21-4443-9D32-830891758145}"/>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2 2 2" xfId="15836" xr:uid="{637DA3F8-A62B-4528-A69C-46C0A6B264CA}"/>
    <cellStyle name="Normal 5 4 4 2 2 3" xfId="11618" xr:uid="{C5B407A5-2907-4307-9A1C-FC12ABBB3405}"/>
    <cellStyle name="Normal 5 4 4 2 3" xfId="5249" xr:uid="{00000000-0005-0000-0000-00002A1B0000}"/>
    <cellStyle name="Normal 5 4 4 2 3 2" xfId="13691" xr:uid="{85BCECC5-E078-43CC-AD2D-294DB4A52FB9}"/>
    <cellStyle name="Normal 5 4 4 2 4" xfId="9473" xr:uid="{BB8367BC-9AD2-4E8A-8D50-5A7418647312}"/>
    <cellStyle name="Normal 5 4 4 3" xfId="1354" xr:uid="{00000000-0005-0000-0000-00002B1B0000}"/>
    <cellStyle name="Normal 5 4 4 3 2" xfId="3584" xr:uid="{00000000-0005-0000-0000-00002C1B0000}"/>
    <cellStyle name="Normal 5 4 4 3 2 2" xfId="7807" xr:uid="{00000000-0005-0000-0000-00002D1B0000}"/>
    <cellStyle name="Normal 5 4 4 3 2 2 2" xfId="16249" xr:uid="{75DA8B32-DF53-4D03-9D3C-1826C770CFFD}"/>
    <cellStyle name="Normal 5 4 4 3 2 3" xfId="12031" xr:uid="{85F00234-CFD5-4A77-8B74-207725504736}"/>
    <cellStyle name="Normal 5 4 4 3 3" xfId="5662" xr:uid="{00000000-0005-0000-0000-00002E1B0000}"/>
    <cellStyle name="Normal 5 4 4 3 3 2" xfId="14104" xr:uid="{90F7B84B-EA0F-4B2C-BD6F-457F7292A0A1}"/>
    <cellStyle name="Normal 5 4 4 3 4" xfId="9886" xr:uid="{C23556E3-3DE9-497F-B222-175DC9B7E9A1}"/>
    <cellStyle name="Normal 5 4 4 4" xfId="1767" xr:uid="{00000000-0005-0000-0000-00002F1B0000}"/>
    <cellStyle name="Normal 5 4 4 4 2" xfId="3997" xr:uid="{00000000-0005-0000-0000-0000301B0000}"/>
    <cellStyle name="Normal 5 4 4 4 2 2" xfId="8220" xr:uid="{00000000-0005-0000-0000-0000311B0000}"/>
    <cellStyle name="Normal 5 4 4 4 2 2 2" xfId="16662" xr:uid="{574C411D-39DF-4A0E-BF6C-0BF09D8436BC}"/>
    <cellStyle name="Normal 5 4 4 4 2 3" xfId="12444" xr:uid="{A445B667-0652-485C-9A68-B387B7F4D9AB}"/>
    <cellStyle name="Normal 5 4 4 4 3" xfId="6075" xr:uid="{00000000-0005-0000-0000-0000321B0000}"/>
    <cellStyle name="Normal 5 4 4 4 3 2" xfId="14517" xr:uid="{9A7390A9-4FA9-492D-859E-ACDB453A0E24}"/>
    <cellStyle name="Normal 5 4 4 4 4" xfId="10299" xr:uid="{A5FA27B0-6BA9-4DEB-BC6F-73336CFE36A6}"/>
    <cellStyle name="Normal 5 4 4 5" xfId="2181" xr:uid="{00000000-0005-0000-0000-0000331B0000}"/>
    <cellStyle name="Normal 5 4 4 5 2" xfId="4410" xr:uid="{00000000-0005-0000-0000-0000341B0000}"/>
    <cellStyle name="Normal 5 4 4 5 2 2" xfId="8633" xr:uid="{00000000-0005-0000-0000-0000351B0000}"/>
    <cellStyle name="Normal 5 4 4 5 2 2 2" xfId="17075" xr:uid="{822933CC-C2B1-477C-8C34-E461D7CF0C7E}"/>
    <cellStyle name="Normal 5 4 4 5 2 3" xfId="12857" xr:uid="{6D18C031-9E29-4549-8C64-2E76B0E48FD8}"/>
    <cellStyle name="Normal 5 4 4 5 3" xfId="6488" xr:uid="{00000000-0005-0000-0000-0000361B0000}"/>
    <cellStyle name="Normal 5 4 4 5 3 2" xfId="14930" xr:uid="{F7CD007F-4A87-4480-B35C-328F105294FC}"/>
    <cellStyle name="Normal 5 4 4 5 4" xfId="10712" xr:uid="{8F4B5504-4709-4AD9-B6D9-0B658C399D2B}"/>
    <cellStyle name="Normal 5 4 4 6" xfId="2617" xr:uid="{00000000-0005-0000-0000-0000371B0000}"/>
    <cellStyle name="Normal 5 4 4 6 2" xfId="6901" xr:uid="{00000000-0005-0000-0000-0000381B0000}"/>
    <cellStyle name="Normal 5 4 4 6 2 2" xfId="15343" xr:uid="{5D96C984-8CB3-40CB-AB40-6BA29CE3B461}"/>
    <cellStyle name="Normal 5 4 4 6 3" xfId="11125" xr:uid="{AB798375-5EE0-4C1E-9C68-C721E63CC615}"/>
    <cellStyle name="Normal 5 4 4 7" xfId="4836" xr:uid="{00000000-0005-0000-0000-0000391B0000}"/>
    <cellStyle name="Normal 5 4 4 7 2" xfId="13278" xr:uid="{08A99C87-7186-4C97-B651-8DCB33B27C34}"/>
    <cellStyle name="Normal 5 4 4 8" xfId="9060" xr:uid="{601B8D89-5B7E-43B8-8548-36E9B11F3744}"/>
    <cellStyle name="Normal 5 4 5" xfId="930" xr:uid="{00000000-0005-0000-0000-00003A1B0000}"/>
    <cellStyle name="Normal 5 4 5 2" xfId="3164" xr:uid="{00000000-0005-0000-0000-00003B1B0000}"/>
    <cellStyle name="Normal 5 4 5 2 2" xfId="7387" xr:uid="{00000000-0005-0000-0000-00003C1B0000}"/>
    <cellStyle name="Normal 5 4 5 2 2 2" xfId="15829" xr:uid="{AA6B57BF-B4E7-4795-837C-426E6FA62B06}"/>
    <cellStyle name="Normal 5 4 5 2 3" xfId="11611" xr:uid="{8E252844-FC81-4BB5-90BF-5D2EA8A94D8E}"/>
    <cellStyle name="Normal 5 4 5 3" xfId="5242" xr:uid="{00000000-0005-0000-0000-00003D1B0000}"/>
    <cellStyle name="Normal 5 4 5 3 2" xfId="13684" xr:uid="{5EBCCFF2-69B1-4678-B9FA-FADCF2E5B503}"/>
    <cellStyle name="Normal 5 4 5 4" xfId="9466" xr:uid="{5C91E359-879A-4681-9A10-5C3BD7042B51}"/>
    <cellStyle name="Normal 5 4 6" xfId="1347" xr:uid="{00000000-0005-0000-0000-00003E1B0000}"/>
    <cellStyle name="Normal 5 4 6 2" xfId="3577" xr:uid="{00000000-0005-0000-0000-00003F1B0000}"/>
    <cellStyle name="Normal 5 4 6 2 2" xfId="7800" xr:uid="{00000000-0005-0000-0000-0000401B0000}"/>
    <cellStyle name="Normal 5 4 6 2 2 2" xfId="16242" xr:uid="{95D7CF2D-E991-4655-911A-BA23B102D0A5}"/>
    <cellStyle name="Normal 5 4 6 2 3" xfId="12024" xr:uid="{0729EC5E-1423-488C-BB22-A5E1B84FB6D8}"/>
    <cellStyle name="Normal 5 4 6 3" xfId="5655" xr:uid="{00000000-0005-0000-0000-0000411B0000}"/>
    <cellStyle name="Normal 5 4 6 3 2" xfId="14097" xr:uid="{5FFAEBA9-32DE-47ED-B4FB-87598DD6B722}"/>
    <cellStyle name="Normal 5 4 6 4" xfId="9879" xr:uid="{D12AFB39-4DCA-47E4-8649-553BD5D7E881}"/>
    <cellStyle name="Normal 5 4 7" xfId="1760" xr:uid="{00000000-0005-0000-0000-0000421B0000}"/>
    <cellStyle name="Normal 5 4 7 2" xfId="3990" xr:uid="{00000000-0005-0000-0000-0000431B0000}"/>
    <cellStyle name="Normal 5 4 7 2 2" xfId="8213" xr:uid="{00000000-0005-0000-0000-0000441B0000}"/>
    <cellStyle name="Normal 5 4 7 2 2 2" xfId="16655" xr:uid="{906D482C-2858-41EC-8D68-6D397B1A30CC}"/>
    <cellStyle name="Normal 5 4 7 2 3" xfId="12437" xr:uid="{6715536E-99AB-4369-83AD-101336E25B8E}"/>
    <cellStyle name="Normal 5 4 7 3" xfId="6068" xr:uid="{00000000-0005-0000-0000-0000451B0000}"/>
    <cellStyle name="Normal 5 4 7 3 2" xfId="14510" xr:uid="{EFD3F311-AE9B-4054-ADC2-233E36F2F989}"/>
    <cellStyle name="Normal 5 4 7 4" xfId="10292" xr:uid="{23491B70-E590-4AB4-AB98-BA166F5CFC50}"/>
    <cellStyle name="Normal 5 4 8" xfId="2174" xr:uid="{00000000-0005-0000-0000-0000461B0000}"/>
    <cellStyle name="Normal 5 4 8 2" xfId="4403" xr:uid="{00000000-0005-0000-0000-0000471B0000}"/>
    <cellStyle name="Normal 5 4 8 2 2" xfId="8626" xr:uid="{00000000-0005-0000-0000-0000481B0000}"/>
    <cellStyle name="Normal 5 4 8 2 2 2" xfId="17068" xr:uid="{089D23BB-638D-431B-A171-7C938B55F8F3}"/>
    <cellStyle name="Normal 5 4 8 2 3" xfId="12850" xr:uid="{2A005004-BCAE-4450-A3F1-43FD533467B9}"/>
    <cellStyle name="Normal 5 4 8 3" xfId="6481" xr:uid="{00000000-0005-0000-0000-0000491B0000}"/>
    <cellStyle name="Normal 5 4 8 3 2" xfId="14923" xr:uid="{07EC182B-BFF6-4CEB-A39F-AE203A8695B4}"/>
    <cellStyle name="Normal 5 4 8 4" xfId="10705" xr:uid="{1FCED8CB-B8B7-4D55-8BDD-62AE0C45984B}"/>
    <cellStyle name="Normal 5 4 9" xfId="2610" xr:uid="{00000000-0005-0000-0000-00004A1B0000}"/>
    <cellStyle name="Normal 5 4 9 2" xfId="6894" xr:uid="{00000000-0005-0000-0000-00004B1B0000}"/>
    <cellStyle name="Normal 5 4 9 2 2" xfId="15336" xr:uid="{615BE62E-329E-4DEF-A7F0-D9EBD719F00E}"/>
    <cellStyle name="Normal 5 4 9 3" xfId="11118" xr:uid="{4BBD09CF-A0B2-47AE-8A33-DD57569AB16E}"/>
    <cellStyle name="Normal 5 5" xfId="464" xr:uid="{00000000-0005-0000-0000-00004C1B0000}"/>
    <cellStyle name="Normal 5 5 10" xfId="9061" xr:uid="{FC52C95C-7A58-4EEB-AE10-D3F2C3A5EB29}"/>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2 2 2" xfId="15839" xr:uid="{89CFDD86-E4BE-48A3-9F1D-BB4D1D6ED66E}"/>
    <cellStyle name="Normal 5 5 2 2 2 2 3" xfId="11621" xr:uid="{A301723A-6CEF-415F-9542-BCF7C5E6A5CE}"/>
    <cellStyle name="Normal 5 5 2 2 2 3" xfId="5252" xr:uid="{00000000-0005-0000-0000-0000521B0000}"/>
    <cellStyle name="Normal 5 5 2 2 2 3 2" xfId="13694" xr:uid="{DED0ED00-873B-490E-859C-EFF036B2F3EA}"/>
    <cellStyle name="Normal 5 5 2 2 2 4" xfId="9476" xr:uid="{CCCF2DCB-390E-471E-B9E2-7AA5EC12D224}"/>
    <cellStyle name="Normal 5 5 2 2 3" xfId="1357" xr:uid="{00000000-0005-0000-0000-0000531B0000}"/>
    <cellStyle name="Normal 5 5 2 2 3 2" xfId="3587" xr:uid="{00000000-0005-0000-0000-0000541B0000}"/>
    <cellStyle name="Normal 5 5 2 2 3 2 2" xfId="7810" xr:uid="{00000000-0005-0000-0000-0000551B0000}"/>
    <cellStyle name="Normal 5 5 2 2 3 2 2 2" xfId="16252" xr:uid="{3DA04CA6-F789-4A55-89A9-DC1D8EDC4005}"/>
    <cellStyle name="Normal 5 5 2 2 3 2 3" xfId="12034" xr:uid="{D5E7058E-CA6D-470C-B115-9618D9C2FA78}"/>
    <cellStyle name="Normal 5 5 2 2 3 3" xfId="5665" xr:uid="{00000000-0005-0000-0000-0000561B0000}"/>
    <cellStyle name="Normal 5 5 2 2 3 3 2" xfId="14107" xr:uid="{54F11D46-5E86-410C-AFDB-6BF432086BFC}"/>
    <cellStyle name="Normal 5 5 2 2 3 4" xfId="9889" xr:uid="{25175911-E1EF-4502-B26B-C403C9F7C51B}"/>
    <cellStyle name="Normal 5 5 2 2 4" xfId="1770" xr:uid="{00000000-0005-0000-0000-0000571B0000}"/>
    <cellStyle name="Normal 5 5 2 2 4 2" xfId="4000" xr:uid="{00000000-0005-0000-0000-0000581B0000}"/>
    <cellStyle name="Normal 5 5 2 2 4 2 2" xfId="8223" xr:uid="{00000000-0005-0000-0000-0000591B0000}"/>
    <cellStyle name="Normal 5 5 2 2 4 2 2 2" xfId="16665" xr:uid="{491F09DA-6514-413C-A033-3DFF0142146C}"/>
    <cellStyle name="Normal 5 5 2 2 4 2 3" xfId="12447" xr:uid="{9C2289C3-0861-4A3A-A0FD-BDCBCC3448ED}"/>
    <cellStyle name="Normal 5 5 2 2 4 3" xfId="6078" xr:uid="{00000000-0005-0000-0000-00005A1B0000}"/>
    <cellStyle name="Normal 5 5 2 2 4 3 2" xfId="14520" xr:uid="{C7BBBB86-C721-4769-A4B5-3199775F7F45}"/>
    <cellStyle name="Normal 5 5 2 2 4 4" xfId="10302" xr:uid="{D1F9EF4B-47CE-423F-A09B-1079A1B2E279}"/>
    <cellStyle name="Normal 5 5 2 2 5" xfId="2184" xr:uid="{00000000-0005-0000-0000-00005B1B0000}"/>
    <cellStyle name="Normal 5 5 2 2 5 2" xfId="4413" xr:uid="{00000000-0005-0000-0000-00005C1B0000}"/>
    <cellStyle name="Normal 5 5 2 2 5 2 2" xfId="8636" xr:uid="{00000000-0005-0000-0000-00005D1B0000}"/>
    <cellStyle name="Normal 5 5 2 2 5 2 2 2" xfId="17078" xr:uid="{E2CE2406-6AC3-4F6C-8611-D36931C2E16C}"/>
    <cellStyle name="Normal 5 5 2 2 5 2 3" xfId="12860" xr:uid="{3A7D6CC8-B35E-4750-A001-682DBB8CEC1D}"/>
    <cellStyle name="Normal 5 5 2 2 5 3" xfId="6491" xr:uid="{00000000-0005-0000-0000-00005E1B0000}"/>
    <cellStyle name="Normal 5 5 2 2 5 3 2" xfId="14933" xr:uid="{061A2E36-CBFF-44AB-BF80-DD35C5F86DB7}"/>
    <cellStyle name="Normal 5 5 2 2 5 4" xfId="10715" xr:uid="{E5608BFD-45AE-421D-8D74-5C215F7A2486}"/>
    <cellStyle name="Normal 5 5 2 2 6" xfId="2620" xr:uid="{00000000-0005-0000-0000-00005F1B0000}"/>
    <cellStyle name="Normal 5 5 2 2 6 2" xfId="6904" xr:uid="{00000000-0005-0000-0000-0000601B0000}"/>
    <cellStyle name="Normal 5 5 2 2 6 2 2" xfId="15346" xr:uid="{65B78D0F-1C2E-44C9-B50A-CCE7CD5C881C}"/>
    <cellStyle name="Normal 5 5 2 2 6 3" xfId="11128" xr:uid="{866C2E35-9374-400E-9DAF-DD908E70C2DD}"/>
    <cellStyle name="Normal 5 5 2 2 7" xfId="4839" xr:uid="{00000000-0005-0000-0000-0000611B0000}"/>
    <cellStyle name="Normal 5 5 2 2 7 2" xfId="13281" xr:uid="{4AB5C7F6-6328-46A6-999E-CF6A47091999}"/>
    <cellStyle name="Normal 5 5 2 2 8" xfId="9063" xr:uid="{DFC77020-A6D4-4DFD-9AB6-7AD6F2D367F1}"/>
    <cellStyle name="Normal 5 5 2 3" xfId="939" xr:uid="{00000000-0005-0000-0000-0000621B0000}"/>
    <cellStyle name="Normal 5 5 2 3 2" xfId="3173" xr:uid="{00000000-0005-0000-0000-0000631B0000}"/>
    <cellStyle name="Normal 5 5 2 3 2 2" xfId="7396" xr:uid="{00000000-0005-0000-0000-0000641B0000}"/>
    <cellStyle name="Normal 5 5 2 3 2 2 2" xfId="15838" xr:uid="{2984EBBF-1DED-4B23-AFCB-9D1C40513C3B}"/>
    <cellStyle name="Normal 5 5 2 3 2 3" xfId="11620" xr:uid="{8BBA3953-4653-4907-A14F-1FC3A1C074D3}"/>
    <cellStyle name="Normal 5 5 2 3 3" xfId="5251" xr:uid="{00000000-0005-0000-0000-0000651B0000}"/>
    <cellStyle name="Normal 5 5 2 3 3 2" xfId="13693" xr:uid="{3EDF5272-8162-4A2F-BABC-964D7D9CCE73}"/>
    <cellStyle name="Normal 5 5 2 3 4" xfId="9475" xr:uid="{8B33CDC8-654A-4574-9718-FD4AB5DC0551}"/>
    <cellStyle name="Normal 5 5 2 4" xfId="1356" xr:uid="{00000000-0005-0000-0000-0000661B0000}"/>
    <cellStyle name="Normal 5 5 2 4 2" xfId="3586" xr:uid="{00000000-0005-0000-0000-0000671B0000}"/>
    <cellStyle name="Normal 5 5 2 4 2 2" xfId="7809" xr:uid="{00000000-0005-0000-0000-0000681B0000}"/>
    <cellStyle name="Normal 5 5 2 4 2 2 2" xfId="16251" xr:uid="{3DA1241D-5FBD-4249-B229-1AA8FE295663}"/>
    <cellStyle name="Normal 5 5 2 4 2 3" xfId="12033" xr:uid="{6BF3D8AA-17FF-45E8-A921-C9ABC83C4E3E}"/>
    <cellStyle name="Normal 5 5 2 4 3" xfId="5664" xr:uid="{00000000-0005-0000-0000-0000691B0000}"/>
    <cellStyle name="Normal 5 5 2 4 3 2" xfId="14106" xr:uid="{D02BD97A-1F8C-47DF-95BE-33A8B59B4895}"/>
    <cellStyle name="Normal 5 5 2 4 4" xfId="9888" xr:uid="{D07BF960-0D72-4C87-9978-7192F63AEC1C}"/>
    <cellStyle name="Normal 5 5 2 5" xfId="1769" xr:uid="{00000000-0005-0000-0000-00006A1B0000}"/>
    <cellStyle name="Normal 5 5 2 5 2" xfId="3999" xr:uid="{00000000-0005-0000-0000-00006B1B0000}"/>
    <cellStyle name="Normal 5 5 2 5 2 2" xfId="8222" xr:uid="{00000000-0005-0000-0000-00006C1B0000}"/>
    <cellStyle name="Normal 5 5 2 5 2 2 2" xfId="16664" xr:uid="{7454119C-2130-42AE-B39E-E202534A9621}"/>
    <cellStyle name="Normal 5 5 2 5 2 3" xfId="12446" xr:uid="{1C8A79AC-B18E-4F38-AD84-94A9179AA076}"/>
    <cellStyle name="Normal 5 5 2 5 3" xfId="6077" xr:uid="{00000000-0005-0000-0000-00006D1B0000}"/>
    <cellStyle name="Normal 5 5 2 5 3 2" xfId="14519" xr:uid="{4B95DC51-9871-44A8-AED3-9E3F871FFA9C}"/>
    <cellStyle name="Normal 5 5 2 5 4" xfId="10301" xr:uid="{D614EACE-D4E3-4574-8A3E-1F9053F1C2F6}"/>
    <cellStyle name="Normal 5 5 2 6" xfId="2183" xr:uid="{00000000-0005-0000-0000-00006E1B0000}"/>
    <cellStyle name="Normal 5 5 2 6 2" xfId="4412" xr:uid="{00000000-0005-0000-0000-00006F1B0000}"/>
    <cellStyle name="Normal 5 5 2 6 2 2" xfId="8635" xr:uid="{00000000-0005-0000-0000-0000701B0000}"/>
    <cellStyle name="Normal 5 5 2 6 2 2 2" xfId="17077" xr:uid="{D4046443-849F-485B-B3DC-AC703BA35B07}"/>
    <cellStyle name="Normal 5 5 2 6 2 3" xfId="12859" xr:uid="{30104E31-9DB9-4A11-B349-FFA0F0B23725}"/>
    <cellStyle name="Normal 5 5 2 6 3" xfId="6490" xr:uid="{00000000-0005-0000-0000-0000711B0000}"/>
    <cellStyle name="Normal 5 5 2 6 3 2" xfId="14932" xr:uid="{B48DFBE4-06AF-4946-96AF-D003AC7B9C5F}"/>
    <cellStyle name="Normal 5 5 2 6 4" xfId="10714" xr:uid="{4F2403BC-938A-46AF-9889-E2E43EA02FC1}"/>
    <cellStyle name="Normal 5 5 2 7" xfId="2619" xr:uid="{00000000-0005-0000-0000-0000721B0000}"/>
    <cellStyle name="Normal 5 5 2 7 2" xfId="6903" xr:uid="{00000000-0005-0000-0000-0000731B0000}"/>
    <cellStyle name="Normal 5 5 2 7 2 2" xfId="15345" xr:uid="{EE52AA6F-536C-4A4F-BF0A-C9CBFF39EF74}"/>
    <cellStyle name="Normal 5 5 2 7 3" xfId="11127" xr:uid="{32B1DB05-556E-4E02-89A3-DB873879E9DA}"/>
    <cellStyle name="Normal 5 5 2 8" xfId="4838" xr:uid="{00000000-0005-0000-0000-0000741B0000}"/>
    <cellStyle name="Normal 5 5 2 8 2" xfId="13280" xr:uid="{D18A8C66-EE8D-4654-BD51-05D7CE40C4C3}"/>
    <cellStyle name="Normal 5 5 2 9" xfId="9062" xr:uid="{2F01B42D-86E0-42CE-A213-EF6535D653BB}"/>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2 2 2" xfId="15840" xr:uid="{093222C5-9215-4CC5-8ACE-6827CF0D2E95}"/>
    <cellStyle name="Normal 5 5 3 2 2 3" xfId="11622" xr:uid="{3905B8A9-BFBB-4690-B5ED-92E8CCEAD6C6}"/>
    <cellStyle name="Normal 5 5 3 2 3" xfId="5253" xr:uid="{00000000-0005-0000-0000-0000791B0000}"/>
    <cellStyle name="Normal 5 5 3 2 3 2" xfId="13695" xr:uid="{1F9CF808-D25D-4EA7-8160-39156497573A}"/>
    <cellStyle name="Normal 5 5 3 2 4" xfId="9477" xr:uid="{2A9ED4F1-58C3-4BFA-A03F-4B77EB19A4E7}"/>
    <cellStyle name="Normal 5 5 3 3" xfId="1358" xr:uid="{00000000-0005-0000-0000-00007A1B0000}"/>
    <cellStyle name="Normal 5 5 3 3 2" xfId="3588" xr:uid="{00000000-0005-0000-0000-00007B1B0000}"/>
    <cellStyle name="Normal 5 5 3 3 2 2" xfId="7811" xr:uid="{00000000-0005-0000-0000-00007C1B0000}"/>
    <cellStyle name="Normal 5 5 3 3 2 2 2" xfId="16253" xr:uid="{4C57C5E0-05A0-41A0-AB75-C37F0C9C7742}"/>
    <cellStyle name="Normal 5 5 3 3 2 3" xfId="12035" xr:uid="{6182CD10-08A6-4CBE-BFF9-172EF160ED92}"/>
    <cellStyle name="Normal 5 5 3 3 3" xfId="5666" xr:uid="{00000000-0005-0000-0000-00007D1B0000}"/>
    <cellStyle name="Normal 5 5 3 3 3 2" xfId="14108" xr:uid="{12E8C086-E36D-468D-BA97-EA30C04C7B11}"/>
    <cellStyle name="Normal 5 5 3 3 4" xfId="9890" xr:uid="{8CFCC389-FF02-4F69-B221-7340430FC33A}"/>
    <cellStyle name="Normal 5 5 3 4" xfId="1771" xr:uid="{00000000-0005-0000-0000-00007E1B0000}"/>
    <cellStyle name="Normal 5 5 3 4 2" xfId="4001" xr:uid="{00000000-0005-0000-0000-00007F1B0000}"/>
    <cellStyle name="Normal 5 5 3 4 2 2" xfId="8224" xr:uid="{00000000-0005-0000-0000-0000801B0000}"/>
    <cellStyle name="Normal 5 5 3 4 2 2 2" xfId="16666" xr:uid="{D810434E-45F4-4BF1-A883-FDA5439AC81A}"/>
    <cellStyle name="Normal 5 5 3 4 2 3" xfId="12448" xr:uid="{9958A9A9-DDE1-42E2-98F4-39AC4F707217}"/>
    <cellStyle name="Normal 5 5 3 4 3" xfId="6079" xr:uid="{00000000-0005-0000-0000-0000811B0000}"/>
    <cellStyle name="Normal 5 5 3 4 3 2" xfId="14521" xr:uid="{5C080457-9830-41D6-8123-2034C582BBB9}"/>
    <cellStyle name="Normal 5 5 3 4 4" xfId="10303" xr:uid="{297E87F4-9E49-48CD-8E4E-DEE3E6272A4B}"/>
    <cellStyle name="Normal 5 5 3 5" xfId="2185" xr:uid="{00000000-0005-0000-0000-0000821B0000}"/>
    <cellStyle name="Normal 5 5 3 5 2" xfId="4414" xr:uid="{00000000-0005-0000-0000-0000831B0000}"/>
    <cellStyle name="Normal 5 5 3 5 2 2" xfId="8637" xr:uid="{00000000-0005-0000-0000-0000841B0000}"/>
    <cellStyle name="Normal 5 5 3 5 2 2 2" xfId="17079" xr:uid="{12A97073-3389-4166-93DA-F617248EB320}"/>
    <cellStyle name="Normal 5 5 3 5 2 3" xfId="12861" xr:uid="{5ED0E5D6-19C7-4664-B076-B39632A018C3}"/>
    <cellStyle name="Normal 5 5 3 5 3" xfId="6492" xr:uid="{00000000-0005-0000-0000-0000851B0000}"/>
    <cellStyle name="Normal 5 5 3 5 3 2" xfId="14934" xr:uid="{CA7787F5-6F91-4BB0-BFFE-44E208890E14}"/>
    <cellStyle name="Normal 5 5 3 5 4" xfId="10716" xr:uid="{380A22BD-E1CE-4D8C-BB58-05BF95B72F51}"/>
    <cellStyle name="Normal 5 5 3 6" xfId="2621" xr:uid="{00000000-0005-0000-0000-0000861B0000}"/>
    <cellStyle name="Normal 5 5 3 6 2" xfId="6905" xr:uid="{00000000-0005-0000-0000-0000871B0000}"/>
    <cellStyle name="Normal 5 5 3 6 2 2" xfId="15347" xr:uid="{285AB0FF-6257-49A5-B027-75AA96701035}"/>
    <cellStyle name="Normal 5 5 3 6 3" xfId="11129" xr:uid="{35779E89-9E8B-49D8-928D-C5070688B365}"/>
    <cellStyle name="Normal 5 5 3 7" xfId="4840" xr:uid="{00000000-0005-0000-0000-0000881B0000}"/>
    <cellStyle name="Normal 5 5 3 7 2" xfId="13282" xr:uid="{7FB036DD-580C-4460-8A3E-39DBB21054DE}"/>
    <cellStyle name="Normal 5 5 3 8" xfId="9064" xr:uid="{02DBDD15-B668-45CE-A657-1E74C05BDAB5}"/>
    <cellStyle name="Normal 5 5 4" xfId="938" xr:uid="{00000000-0005-0000-0000-0000891B0000}"/>
    <cellStyle name="Normal 5 5 4 2" xfId="3172" xr:uid="{00000000-0005-0000-0000-00008A1B0000}"/>
    <cellStyle name="Normal 5 5 4 2 2" xfId="7395" xr:uid="{00000000-0005-0000-0000-00008B1B0000}"/>
    <cellStyle name="Normal 5 5 4 2 2 2" xfId="15837" xr:uid="{294BD345-C7E4-4296-9F22-034549A02140}"/>
    <cellStyle name="Normal 5 5 4 2 3" xfId="11619" xr:uid="{54993E73-05BE-404A-B2A0-BF7AF3D5B0C7}"/>
    <cellStyle name="Normal 5 5 4 3" xfId="5250" xr:uid="{00000000-0005-0000-0000-00008C1B0000}"/>
    <cellStyle name="Normal 5 5 4 3 2" xfId="13692" xr:uid="{FACEDE9A-E59C-4CD3-84C0-E168C0484A86}"/>
    <cellStyle name="Normal 5 5 4 4" xfId="9474" xr:uid="{C88CB5E3-DA75-4266-B4AC-9C4F0C0CCBC0}"/>
    <cellStyle name="Normal 5 5 5" xfId="1355" xr:uid="{00000000-0005-0000-0000-00008D1B0000}"/>
    <cellStyle name="Normal 5 5 5 2" xfId="3585" xr:uid="{00000000-0005-0000-0000-00008E1B0000}"/>
    <cellStyle name="Normal 5 5 5 2 2" xfId="7808" xr:uid="{00000000-0005-0000-0000-00008F1B0000}"/>
    <cellStyle name="Normal 5 5 5 2 2 2" xfId="16250" xr:uid="{D424895D-6E41-4DDF-977B-1DC05C9E651C}"/>
    <cellStyle name="Normal 5 5 5 2 3" xfId="12032" xr:uid="{9238809B-E9E0-4D0E-8EE6-373239D9E8A1}"/>
    <cellStyle name="Normal 5 5 5 3" xfId="5663" xr:uid="{00000000-0005-0000-0000-0000901B0000}"/>
    <cellStyle name="Normal 5 5 5 3 2" xfId="14105" xr:uid="{3FF72B9A-88C0-4CF9-879C-6D6348F70CB5}"/>
    <cellStyle name="Normal 5 5 5 4" xfId="9887" xr:uid="{0EBA5007-8987-4C5E-967D-F057710EC473}"/>
    <cellStyle name="Normal 5 5 6" xfId="1768" xr:uid="{00000000-0005-0000-0000-0000911B0000}"/>
    <cellStyle name="Normal 5 5 6 2" xfId="3998" xr:uid="{00000000-0005-0000-0000-0000921B0000}"/>
    <cellStyle name="Normal 5 5 6 2 2" xfId="8221" xr:uid="{00000000-0005-0000-0000-0000931B0000}"/>
    <cellStyle name="Normal 5 5 6 2 2 2" xfId="16663" xr:uid="{1F0AB81C-101E-4EF5-AFA9-628526F71356}"/>
    <cellStyle name="Normal 5 5 6 2 3" xfId="12445" xr:uid="{2DFFDDA4-1496-4429-9B53-65ED6B1DACEB}"/>
    <cellStyle name="Normal 5 5 6 3" xfId="6076" xr:uid="{00000000-0005-0000-0000-0000941B0000}"/>
    <cellStyle name="Normal 5 5 6 3 2" xfId="14518" xr:uid="{2656CF8B-3D35-4135-888E-D8787389B508}"/>
    <cellStyle name="Normal 5 5 6 4" xfId="10300" xr:uid="{6B30498B-29CD-4308-9275-93131D58F294}"/>
    <cellStyle name="Normal 5 5 7" xfId="2182" xr:uid="{00000000-0005-0000-0000-0000951B0000}"/>
    <cellStyle name="Normal 5 5 7 2" xfId="4411" xr:uid="{00000000-0005-0000-0000-0000961B0000}"/>
    <cellStyle name="Normal 5 5 7 2 2" xfId="8634" xr:uid="{00000000-0005-0000-0000-0000971B0000}"/>
    <cellStyle name="Normal 5 5 7 2 2 2" xfId="17076" xr:uid="{783F2C19-1040-4373-904B-8E40408F35E9}"/>
    <cellStyle name="Normal 5 5 7 2 3" xfId="12858" xr:uid="{FA3BF95D-DF52-4400-A99C-8119413E8BBF}"/>
    <cellStyle name="Normal 5 5 7 3" xfId="6489" xr:uid="{00000000-0005-0000-0000-0000981B0000}"/>
    <cellStyle name="Normal 5 5 7 3 2" xfId="14931" xr:uid="{2B9A4823-C2C4-4844-B6D2-0F5F42B4A8D7}"/>
    <cellStyle name="Normal 5 5 7 4" xfId="10713" xr:uid="{980231B4-F465-47DA-8F3A-0F638E161663}"/>
    <cellStyle name="Normal 5 5 8" xfId="2618" xr:uid="{00000000-0005-0000-0000-0000991B0000}"/>
    <cellStyle name="Normal 5 5 8 2" xfId="6902" xr:uid="{00000000-0005-0000-0000-00009A1B0000}"/>
    <cellStyle name="Normal 5 5 8 2 2" xfId="15344" xr:uid="{12356820-41D2-4FA9-A328-2FF05F0DA9D0}"/>
    <cellStyle name="Normal 5 5 8 3" xfId="11126" xr:uid="{DAED0411-B3A5-4984-A289-73DB524B04A8}"/>
    <cellStyle name="Normal 5 5 9" xfId="4837" xr:uid="{00000000-0005-0000-0000-00009B1B0000}"/>
    <cellStyle name="Normal 5 5 9 2" xfId="13279" xr:uid="{5F617A64-DAE7-448A-B5C8-F3DE26FD2F09}"/>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2 2 2" xfId="15842" xr:uid="{0677A1D9-0987-4146-BDFD-3F0B71800C9C}"/>
    <cellStyle name="Normal 5 6 2 2 2 3" xfId="11624" xr:uid="{654FF32E-018E-4184-8258-261A562B6903}"/>
    <cellStyle name="Normal 5 6 2 2 3" xfId="5255" xr:uid="{00000000-0005-0000-0000-0000A11B0000}"/>
    <cellStyle name="Normal 5 6 2 2 3 2" xfId="13697" xr:uid="{894A7239-1706-4B0D-9BBC-92D0D3625D77}"/>
    <cellStyle name="Normal 5 6 2 2 4" xfId="9479" xr:uid="{6B638D6C-9447-4698-9A5B-846BF42D9E9A}"/>
    <cellStyle name="Normal 5 6 2 3" xfId="1360" xr:uid="{00000000-0005-0000-0000-0000A21B0000}"/>
    <cellStyle name="Normal 5 6 2 3 2" xfId="3590" xr:uid="{00000000-0005-0000-0000-0000A31B0000}"/>
    <cellStyle name="Normal 5 6 2 3 2 2" xfId="7813" xr:uid="{00000000-0005-0000-0000-0000A41B0000}"/>
    <cellStyle name="Normal 5 6 2 3 2 2 2" xfId="16255" xr:uid="{19AD6B6D-7B5E-4966-933D-ECE3BE04DCEC}"/>
    <cellStyle name="Normal 5 6 2 3 2 3" xfId="12037" xr:uid="{40EEAD54-AFD5-4B3E-84AB-94766877AD00}"/>
    <cellStyle name="Normal 5 6 2 3 3" xfId="5668" xr:uid="{00000000-0005-0000-0000-0000A51B0000}"/>
    <cellStyle name="Normal 5 6 2 3 3 2" xfId="14110" xr:uid="{F671E399-8D0C-46E3-B38D-A2B341F7EE47}"/>
    <cellStyle name="Normal 5 6 2 3 4" xfId="9892" xr:uid="{616404E8-3C0E-41FD-913C-C55A4119A944}"/>
    <cellStyle name="Normal 5 6 2 4" xfId="1773" xr:uid="{00000000-0005-0000-0000-0000A61B0000}"/>
    <cellStyle name="Normal 5 6 2 4 2" xfId="4003" xr:uid="{00000000-0005-0000-0000-0000A71B0000}"/>
    <cellStyle name="Normal 5 6 2 4 2 2" xfId="8226" xr:uid="{00000000-0005-0000-0000-0000A81B0000}"/>
    <cellStyle name="Normal 5 6 2 4 2 2 2" xfId="16668" xr:uid="{14BC6552-2B50-4CC8-8364-DFC36991FB6A}"/>
    <cellStyle name="Normal 5 6 2 4 2 3" xfId="12450" xr:uid="{C13EA888-3B3F-4ABF-9BD9-02A7AA26B8A0}"/>
    <cellStyle name="Normal 5 6 2 4 3" xfId="6081" xr:uid="{00000000-0005-0000-0000-0000A91B0000}"/>
    <cellStyle name="Normal 5 6 2 4 3 2" xfId="14523" xr:uid="{BDD4E42B-6682-4AEB-9F5A-BC3B27B2ED92}"/>
    <cellStyle name="Normal 5 6 2 4 4" xfId="10305" xr:uid="{160D75D4-4986-4CE2-99EC-FC664726C847}"/>
    <cellStyle name="Normal 5 6 2 5" xfId="2187" xr:uid="{00000000-0005-0000-0000-0000AA1B0000}"/>
    <cellStyle name="Normal 5 6 2 5 2" xfId="4416" xr:uid="{00000000-0005-0000-0000-0000AB1B0000}"/>
    <cellStyle name="Normal 5 6 2 5 2 2" xfId="8639" xr:uid="{00000000-0005-0000-0000-0000AC1B0000}"/>
    <cellStyle name="Normal 5 6 2 5 2 2 2" xfId="17081" xr:uid="{99B0E1B3-DF6D-497E-A009-4DA497049A20}"/>
    <cellStyle name="Normal 5 6 2 5 2 3" xfId="12863" xr:uid="{FE571CF7-1DB1-408A-92EB-A82C7FD8C4E6}"/>
    <cellStyle name="Normal 5 6 2 5 3" xfId="6494" xr:uid="{00000000-0005-0000-0000-0000AD1B0000}"/>
    <cellStyle name="Normal 5 6 2 5 3 2" xfId="14936" xr:uid="{36EAAB31-2CC5-4ECF-B9A1-6C555D05894F}"/>
    <cellStyle name="Normal 5 6 2 5 4" xfId="10718" xr:uid="{08A13EDE-F8E2-4CA7-BBD5-0EEF303E276D}"/>
    <cellStyle name="Normal 5 6 2 6" xfId="2623" xr:uid="{00000000-0005-0000-0000-0000AE1B0000}"/>
    <cellStyle name="Normal 5 6 2 6 2" xfId="6907" xr:uid="{00000000-0005-0000-0000-0000AF1B0000}"/>
    <cellStyle name="Normal 5 6 2 6 2 2" xfId="15349" xr:uid="{3A6F39F2-909D-46FB-8644-B6EE05C3F3CB}"/>
    <cellStyle name="Normal 5 6 2 6 3" xfId="11131" xr:uid="{2B1CD0AE-2434-4C11-97E3-19D37AA0D25F}"/>
    <cellStyle name="Normal 5 6 2 7" xfId="4842" xr:uid="{00000000-0005-0000-0000-0000B01B0000}"/>
    <cellStyle name="Normal 5 6 2 7 2" xfId="13284" xr:uid="{FA10FA71-7555-4BFF-B48A-171C1103C6C7}"/>
    <cellStyle name="Normal 5 6 2 8" xfId="9066" xr:uid="{CDF0699B-6C6B-4C03-AC4A-21FD60268C0F}"/>
    <cellStyle name="Normal 5 6 3" xfId="942" xr:uid="{00000000-0005-0000-0000-0000B11B0000}"/>
    <cellStyle name="Normal 5 6 3 2" xfId="3176" xr:uid="{00000000-0005-0000-0000-0000B21B0000}"/>
    <cellStyle name="Normal 5 6 3 2 2" xfId="7399" xr:uid="{00000000-0005-0000-0000-0000B31B0000}"/>
    <cellStyle name="Normal 5 6 3 2 2 2" xfId="15841" xr:uid="{80A85875-BF3E-4D8E-BF44-5F4F2A0E91D8}"/>
    <cellStyle name="Normal 5 6 3 2 3" xfId="11623" xr:uid="{C0DB6F0D-9BCC-4F5A-B4BB-CAD9BFE8CE2D}"/>
    <cellStyle name="Normal 5 6 3 3" xfId="5254" xr:uid="{00000000-0005-0000-0000-0000B41B0000}"/>
    <cellStyle name="Normal 5 6 3 3 2" xfId="13696" xr:uid="{AD6F8338-F6D2-4483-871E-486F7383FBB2}"/>
    <cellStyle name="Normal 5 6 3 4" xfId="9478" xr:uid="{45E8AE96-C674-4360-8BC2-5543A0322F1C}"/>
    <cellStyle name="Normal 5 6 4" xfId="1359" xr:uid="{00000000-0005-0000-0000-0000B51B0000}"/>
    <cellStyle name="Normal 5 6 4 2" xfId="3589" xr:uid="{00000000-0005-0000-0000-0000B61B0000}"/>
    <cellStyle name="Normal 5 6 4 2 2" xfId="7812" xr:uid="{00000000-0005-0000-0000-0000B71B0000}"/>
    <cellStyle name="Normal 5 6 4 2 2 2" xfId="16254" xr:uid="{DCA5765D-3DB2-4D43-B0C2-D0E8FB397959}"/>
    <cellStyle name="Normal 5 6 4 2 3" xfId="12036" xr:uid="{4D6C34E3-0189-467D-A6A2-AA6287851107}"/>
    <cellStyle name="Normal 5 6 4 3" xfId="5667" xr:uid="{00000000-0005-0000-0000-0000B81B0000}"/>
    <cellStyle name="Normal 5 6 4 3 2" xfId="14109" xr:uid="{0AFD56A7-69F3-4940-A66A-7AF509E303FE}"/>
    <cellStyle name="Normal 5 6 4 4" xfId="9891" xr:uid="{0D724D7B-8B5B-4B50-9546-A5EF1EF75C76}"/>
    <cellStyle name="Normal 5 6 5" xfId="1772" xr:uid="{00000000-0005-0000-0000-0000B91B0000}"/>
    <cellStyle name="Normal 5 6 5 2" xfId="4002" xr:uid="{00000000-0005-0000-0000-0000BA1B0000}"/>
    <cellStyle name="Normal 5 6 5 2 2" xfId="8225" xr:uid="{00000000-0005-0000-0000-0000BB1B0000}"/>
    <cellStyle name="Normal 5 6 5 2 2 2" xfId="16667" xr:uid="{000C23BE-F15D-4052-A2F9-D7C13653DC44}"/>
    <cellStyle name="Normal 5 6 5 2 3" xfId="12449" xr:uid="{3BAC12B3-CA67-4DAC-994E-5831C177337B}"/>
    <cellStyle name="Normal 5 6 5 3" xfId="6080" xr:uid="{00000000-0005-0000-0000-0000BC1B0000}"/>
    <cellStyle name="Normal 5 6 5 3 2" xfId="14522" xr:uid="{D9E5F18B-78F8-43FB-930F-CC39AFAAA97D}"/>
    <cellStyle name="Normal 5 6 5 4" xfId="10304" xr:uid="{3070B5A3-9D15-4A04-92A8-C12656B3DA30}"/>
    <cellStyle name="Normal 5 6 6" xfId="2186" xr:uid="{00000000-0005-0000-0000-0000BD1B0000}"/>
    <cellStyle name="Normal 5 6 6 2" xfId="4415" xr:uid="{00000000-0005-0000-0000-0000BE1B0000}"/>
    <cellStyle name="Normal 5 6 6 2 2" xfId="8638" xr:uid="{00000000-0005-0000-0000-0000BF1B0000}"/>
    <cellStyle name="Normal 5 6 6 2 2 2" xfId="17080" xr:uid="{94CDBEF8-8A08-407A-8046-5777900BFB68}"/>
    <cellStyle name="Normal 5 6 6 2 3" xfId="12862" xr:uid="{EF101C34-D760-48E6-87F6-2088A2900FAC}"/>
    <cellStyle name="Normal 5 6 6 3" xfId="6493" xr:uid="{00000000-0005-0000-0000-0000C01B0000}"/>
    <cellStyle name="Normal 5 6 6 3 2" xfId="14935" xr:uid="{187F6276-D35A-465E-9F35-4AE69E78D156}"/>
    <cellStyle name="Normal 5 6 6 4" xfId="10717" xr:uid="{5482001C-A288-4266-BE97-9B0F04C534FC}"/>
    <cellStyle name="Normal 5 6 7" xfId="2622" xr:uid="{00000000-0005-0000-0000-0000C11B0000}"/>
    <cellStyle name="Normal 5 6 7 2" xfId="6906" xr:uid="{00000000-0005-0000-0000-0000C21B0000}"/>
    <cellStyle name="Normal 5 6 7 2 2" xfId="15348" xr:uid="{C9A19AD3-E004-4451-8879-A58A1AFAECA3}"/>
    <cellStyle name="Normal 5 6 7 3" xfId="11130" xr:uid="{0F9B37DA-6150-4B8D-B9DA-2E2D63C3E585}"/>
    <cellStyle name="Normal 5 6 8" xfId="4841" xr:uid="{00000000-0005-0000-0000-0000C31B0000}"/>
    <cellStyle name="Normal 5 6 8 2" xfId="13283" xr:uid="{39CAC72E-6005-44ED-94DE-BFF8846B8348}"/>
    <cellStyle name="Normal 5 6 9" xfId="9065" xr:uid="{63973D71-3ECD-45A7-8090-BAC7B148E4B2}"/>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2 2 2" xfId="15843" xr:uid="{88DEC3EC-1037-4722-80A0-050630C193E5}"/>
    <cellStyle name="Normal 5 7 2 2 3" xfId="11625" xr:uid="{B683E3B3-49C5-45E5-B844-356B3C572BB5}"/>
    <cellStyle name="Normal 5 7 2 3" xfId="5256" xr:uid="{00000000-0005-0000-0000-0000C81B0000}"/>
    <cellStyle name="Normal 5 7 2 3 2" xfId="13698" xr:uid="{7E195AB7-D78B-43E0-9501-227D008C93E5}"/>
    <cellStyle name="Normal 5 7 2 4" xfId="9480" xr:uid="{B84EC220-A131-45B1-902C-273ED55433F1}"/>
    <cellStyle name="Normal 5 7 3" xfId="1361" xr:uid="{00000000-0005-0000-0000-0000C91B0000}"/>
    <cellStyle name="Normal 5 7 3 2" xfId="3591" xr:uid="{00000000-0005-0000-0000-0000CA1B0000}"/>
    <cellStyle name="Normal 5 7 3 2 2" xfId="7814" xr:uid="{00000000-0005-0000-0000-0000CB1B0000}"/>
    <cellStyle name="Normal 5 7 3 2 2 2" xfId="16256" xr:uid="{22AA6E2A-7950-46A7-8423-D62E22D7544C}"/>
    <cellStyle name="Normal 5 7 3 2 3" xfId="12038" xr:uid="{9E09D0FE-739B-4DBD-8DB7-E65D17BA8DDB}"/>
    <cellStyle name="Normal 5 7 3 3" xfId="5669" xr:uid="{00000000-0005-0000-0000-0000CC1B0000}"/>
    <cellStyle name="Normal 5 7 3 3 2" xfId="14111" xr:uid="{7D5DDB91-43AE-40DA-95AF-A04E0D245870}"/>
    <cellStyle name="Normal 5 7 3 4" xfId="9893" xr:uid="{2B032A45-1C84-4B95-977C-88FFBF400A87}"/>
    <cellStyle name="Normal 5 7 4" xfId="1774" xr:uid="{00000000-0005-0000-0000-0000CD1B0000}"/>
    <cellStyle name="Normal 5 7 4 2" xfId="4004" xr:uid="{00000000-0005-0000-0000-0000CE1B0000}"/>
    <cellStyle name="Normal 5 7 4 2 2" xfId="8227" xr:uid="{00000000-0005-0000-0000-0000CF1B0000}"/>
    <cellStyle name="Normal 5 7 4 2 2 2" xfId="16669" xr:uid="{67A8293A-CEFC-4CA6-AA8E-0661C2B18D67}"/>
    <cellStyle name="Normal 5 7 4 2 3" xfId="12451" xr:uid="{81FF2908-FDFB-4B07-88C3-55B7B5F412ED}"/>
    <cellStyle name="Normal 5 7 4 3" xfId="6082" xr:uid="{00000000-0005-0000-0000-0000D01B0000}"/>
    <cellStyle name="Normal 5 7 4 3 2" xfId="14524" xr:uid="{88711381-8563-4061-A8EF-AB922C823A4F}"/>
    <cellStyle name="Normal 5 7 4 4" xfId="10306" xr:uid="{EC4B4413-8AAF-4A85-941E-FE78747C25D0}"/>
    <cellStyle name="Normal 5 7 5" xfId="2188" xr:uid="{00000000-0005-0000-0000-0000D11B0000}"/>
    <cellStyle name="Normal 5 7 5 2" xfId="4417" xr:uid="{00000000-0005-0000-0000-0000D21B0000}"/>
    <cellStyle name="Normal 5 7 5 2 2" xfId="8640" xr:uid="{00000000-0005-0000-0000-0000D31B0000}"/>
    <cellStyle name="Normal 5 7 5 2 2 2" xfId="17082" xr:uid="{0EA4F36F-EABB-4DC2-9020-663CC46DC083}"/>
    <cellStyle name="Normal 5 7 5 2 3" xfId="12864" xr:uid="{364E3382-AD1C-416B-9C12-E2DF9AD83294}"/>
    <cellStyle name="Normal 5 7 5 3" xfId="6495" xr:uid="{00000000-0005-0000-0000-0000D41B0000}"/>
    <cellStyle name="Normal 5 7 5 3 2" xfId="14937" xr:uid="{7673AD1F-E180-459E-983B-0629301B094C}"/>
    <cellStyle name="Normal 5 7 5 4" xfId="10719" xr:uid="{C1E44EBF-199B-48D3-A8A9-F1DB9873C123}"/>
    <cellStyle name="Normal 5 7 6" xfId="2624" xr:uid="{00000000-0005-0000-0000-0000D51B0000}"/>
    <cellStyle name="Normal 5 7 6 2" xfId="6908" xr:uid="{00000000-0005-0000-0000-0000D61B0000}"/>
    <cellStyle name="Normal 5 7 6 2 2" xfId="15350" xr:uid="{9AB97F7C-9E09-46F3-B408-05ADC18A4094}"/>
    <cellStyle name="Normal 5 7 6 3" xfId="11132" xr:uid="{35E5FF33-8145-42E6-9DE4-A94621773537}"/>
    <cellStyle name="Normal 5 7 7" xfId="4843" xr:uid="{00000000-0005-0000-0000-0000D71B0000}"/>
    <cellStyle name="Normal 5 7 7 2" xfId="13285" xr:uid="{51810D12-37A1-4DD8-B491-8BAFCEDA225E}"/>
    <cellStyle name="Normal 5 7 8" xfId="9067" xr:uid="{4090F148-8941-4F9D-9599-5C4AAF647C14}"/>
    <cellStyle name="Normal 5 8" xfId="880" xr:uid="{00000000-0005-0000-0000-0000D81B0000}"/>
    <cellStyle name="Normal 5 8 2" xfId="3115" xr:uid="{00000000-0005-0000-0000-0000D91B0000}"/>
    <cellStyle name="Normal 5 8 2 2" xfId="7338" xr:uid="{00000000-0005-0000-0000-0000DA1B0000}"/>
    <cellStyle name="Normal 5 8 2 2 2" xfId="15780" xr:uid="{F9CC896D-A0CE-4A18-9977-E4B2A7ABF96B}"/>
    <cellStyle name="Normal 5 8 2 3" xfId="11562" xr:uid="{ECC79725-6AAC-4AEE-9C34-ECE1B06725E5}"/>
    <cellStyle name="Normal 5 8 3" xfId="5193" xr:uid="{00000000-0005-0000-0000-0000DB1B0000}"/>
    <cellStyle name="Normal 5 8 3 2" xfId="13635" xr:uid="{7019D95A-BD29-4E27-9780-7A6B279B8F14}"/>
    <cellStyle name="Normal 5 8 4" xfId="9417" xr:uid="{FE0A15F4-0E35-4951-8A53-2318C7EEDF53}"/>
    <cellStyle name="Normal 5 9" xfId="1298" xr:uid="{00000000-0005-0000-0000-0000DC1B0000}"/>
    <cellStyle name="Normal 5 9 2" xfId="3528" xr:uid="{00000000-0005-0000-0000-0000DD1B0000}"/>
    <cellStyle name="Normal 5 9 2 2" xfId="7751" xr:uid="{00000000-0005-0000-0000-0000DE1B0000}"/>
    <cellStyle name="Normal 5 9 2 2 2" xfId="16193" xr:uid="{A02EB678-4957-42D2-BFA1-B9BFD7CB1636}"/>
    <cellStyle name="Normal 5 9 2 3" xfId="11975" xr:uid="{2011FD3B-EBE9-4361-B6A3-392685E73DE0}"/>
    <cellStyle name="Normal 5 9 3" xfId="5606" xr:uid="{00000000-0005-0000-0000-0000DF1B0000}"/>
    <cellStyle name="Normal 5 9 3 2" xfId="14048" xr:uid="{DB17E5E0-7EB2-4028-A558-2F0F1CCEC005}"/>
    <cellStyle name="Normal 5 9 4" xfId="9830" xr:uid="{76D167E9-3AD1-4826-BD7E-86C02997A2DE}"/>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2 2 2" xfId="17083" xr:uid="{078A4664-EB1E-42EE-A396-D181C888717D}"/>
    <cellStyle name="Normal 8 10 2 3" xfId="12865" xr:uid="{59E46F8E-0C65-4895-96B7-79F0209B508D}"/>
    <cellStyle name="Normal 8 10 3" xfId="6496" xr:uid="{00000000-0005-0000-0000-0000EB1B0000}"/>
    <cellStyle name="Normal 8 10 3 2" xfId="14938" xr:uid="{D37DA668-A306-41E4-91B0-1608BB401E44}"/>
    <cellStyle name="Normal 8 10 4" xfId="10720" xr:uid="{70C409E7-B87F-40E8-96B7-08B517D7ED6F}"/>
    <cellStyle name="Normal 8 11" xfId="2625" xr:uid="{00000000-0005-0000-0000-0000EC1B0000}"/>
    <cellStyle name="Normal 8 11 2" xfId="6909" xr:uid="{00000000-0005-0000-0000-0000ED1B0000}"/>
    <cellStyle name="Normal 8 11 2 2" xfId="15351" xr:uid="{3C5A8911-30FD-4EA8-884B-7AE08EDEC8B6}"/>
    <cellStyle name="Normal 8 11 3" xfId="11133" xr:uid="{ED4FFF43-FD90-4857-8601-30EA90AEE47E}"/>
    <cellStyle name="Normal 8 12" xfId="4844" xr:uid="{00000000-0005-0000-0000-0000EE1B0000}"/>
    <cellStyle name="Normal 8 12 2" xfId="13286" xr:uid="{6460EA12-705F-449C-A5E0-20D4FA74DF53}"/>
    <cellStyle name="Normal 8 13" xfId="9068" xr:uid="{6754852E-D479-400C-9736-2CCED1FA649F}"/>
    <cellStyle name="Normal 8 2" xfId="479" xr:uid="{00000000-0005-0000-0000-0000EF1B0000}"/>
    <cellStyle name="Normal 8 2 10" xfId="2626" xr:uid="{00000000-0005-0000-0000-0000F01B0000}"/>
    <cellStyle name="Normal 8 2 10 2" xfId="6910" xr:uid="{00000000-0005-0000-0000-0000F11B0000}"/>
    <cellStyle name="Normal 8 2 10 2 2" xfId="15352" xr:uid="{BE820266-F68A-43CF-9497-1A003059BCA5}"/>
    <cellStyle name="Normal 8 2 10 3" xfId="11134" xr:uid="{9D5241BB-F31F-42A2-A7CE-DDF25312B800}"/>
    <cellStyle name="Normal 8 2 11" xfId="4845" xr:uid="{00000000-0005-0000-0000-0000F21B0000}"/>
    <cellStyle name="Normal 8 2 11 2" xfId="13287" xr:uid="{53E237B0-1AE0-4D2E-AD1F-126107786A46}"/>
    <cellStyle name="Normal 8 2 12" xfId="9069" xr:uid="{7DC00252-F386-46F8-A188-4B5141C4C089}"/>
    <cellStyle name="Normal 8 2 2" xfId="480" xr:uid="{00000000-0005-0000-0000-0000F31B0000}"/>
    <cellStyle name="Normal 8 2 2 10" xfId="4846" xr:uid="{00000000-0005-0000-0000-0000F41B0000}"/>
    <cellStyle name="Normal 8 2 2 10 2" xfId="13288" xr:uid="{21024F1B-F12C-4406-88AB-454FFE365C20}"/>
    <cellStyle name="Normal 8 2 2 11" xfId="9070" xr:uid="{724C5AB7-0982-4138-AF2F-6DD017253599}"/>
    <cellStyle name="Normal 8 2 2 2" xfId="481" xr:uid="{00000000-0005-0000-0000-0000F51B0000}"/>
    <cellStyle name="Normal 8 2 2 2 10" xfId="9071" xr:uid="{B5300535-A3C0-44E8-A7CD-BCB758660CB1}"/>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2 2 2" xfId="15849" xr:uid="{35FA4D2C-0DCF-46CA-8E9B-18BF82394DED}"/>
    <cellStyle name="Normal 8 2 2 2 2 2 2 2 3" xfId="11631" xr:uid="{B8C32A0E-E4CF-427A-A612-3DF4B49DB71F}"/>
    <cellStyle name="Normal 8 2 2 2 2 2 2 3" xfId="5262" xr:uid="{00000000-0005-0000-0000-0000FB1B0000}"/>
    <cellStyle name="Normal 8 2 2 2 2 2 2 3 2" xfId="13704" xr:uid="{E63A5014-F390-4889-92A2-FCC3013F9BA9}"/>
    <cellStyle name="Normal 8 2 2 2 2 2 2 4" xfId="9486" xr:uid="{4115B4C4-6A9A-4B43-A3C3-712388E34B21}"/>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2 2 2" xfId="16262" xr:uid="{226EA7F0-4F7E-4946-907F-449E8A539FF9}"/>
    <cellStyle name="Normal 8 2 2 2 2 2 3 2 3" xfId="12044" xr:uid="{9EC2EE72-B6B4-4B2B-A4E9-EAC97788F141}"/>
    <cellStyle name="Normal 8 2 2 2 2 2 3 3" xfId="5675" xr:uid="{00000000-0005-0000-0000-0000FF1B0000}"/>
    <cellStyle name="Normal 8 2 2 2 2 2 3 3 2" xfId="14117" xr:uid="{47F30465-C299-41A9-86D0-9EC05BB5716B}"/>
    <cellStyle name="Normal 8 2 2 2 2 2 3 4" xfId="9899" xr:uid="{E4ECCF8A-11DB-4634-AC1C-0EFC9FF7AD3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2 2 2" xfId="16675" xr:uid="{DFB47C9E-A705-4128-B0D7-2B969C0907A3}"/>
    <cellStyle name="Normal 8 2 2 2 2 2 4 2 3" xfId="12457" xr:uid="{48CCF016-56DD-40A2-8D44-81E214E6D448}"/>
    <cellStyle name="Normal 8 2 2 2 2 2 4 3" xfId="6088" xr:uid="{00000000-0005-0000-0000-0000031C0000}"/>
    <cellStyle name="Normal 8 2 2 2 2 2 4 3 2" xfId="14530" xr:uid="{7C7F0530-7A84-46D9-9C40-12E3C7C6832C}"/>
    <cellStyle name="Normal 8 2 2 2 2 2 4 4" xfId="10312" xr:uid="{605983A8-77BD-4932-A09A-CADAA011855C}"/>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2 2 2" xfId="17088" xr:uid="{0E8233D5-798E-4178-9E55-07D05573221F}"/>
    <cellStyle name="Normal 8 2 2 2 2 2 5 2 3" xfId="12870" xr:uid="{8C69556D-659D-4277-A86F-836876A0AD1C}"/>
    <cellStyle name="Normal 8 2 2 2 2 2 5 3" xfId="6501" xr:uid="{00000000-0005-0000-0000-0000071C0000}"/>
    <cellStyle name="Normal 8 2 2 2 2 2 5 3 2" xfId="14943" xr:uid="{8BC98702-3799-4367-ABBA-4CCBA95F09A8}"/>
    <cellStyle name="Normal 8 2 2 2 2 2 5 4" xfId="10725" xr:uid="{84271EFE-869F-439A-A573-5828137CA553}"/>
    <cellStyle name="Normal 8 2 2 2 2 2 6" xfId="2630" xr:uid="{00000000-0005-0000-0000-0000081C0000}"/>
    <cellStyle name="Normal 8 2 2 2 2 2 6 2" xfId="6914" xr:uid="{00000000-0005-0000-0000-0000091C0000}"/>
    <cellStyle name="Normal 8 2 2 2 2 2 6 2 2" xfId="15356" xr:uid="{11404BDA-307D-4C24-A447-274DC26C7E01}"/>
    <cellStyle name="Normal 8 2 2 2 2 2 6 3" xfId="11138" xr:uid="{A399E8BD-D59E-4038-A0DE-15E25F4E9CAC}"/>
    <cellStyle name="Normal 8 2 2 2 2 2 7" xfId="4849" xr:uid="{00000000-0005-0000-0000-00000A1C0000}"/>
    <cellStyle name="Normal 8 2 2 2 2 2 7 2" xfId="13291" xr:uid="{2E66331B-8F8C-4056-9E87-38B9A02C7323}"/>
    <cellStyle name="Normal 8 2 2 2 2 2 8" xfId="9073" xr:uid="{A5A91093-9481-4F84-8EAB-0FEC7884B557}"/>
    <cellStyle name="Normal 8 2 2 2 2 3" xfId="949" xr:uid="{00000000-0005-0000-0000-00000B1C0000}"/>
    <cellStyle name="Normal 8 2 2 2 2 3 2" xfId="3183" xr:uid="{00000000-0005-0000-0000-00000C1C0000}"/>
    <cellStyle name="Normal 8 2 2 2 2 3 2 2" xfId="7406" xr:uid="{00000000-0005-0000-0000-00000D1C0000}"/>
    <cellStyle name="Normal 8 2 2 2 2 3 2 2 2" xfId="15848" xr:uid="{2AA8451F-CE35-491B-9A6F-B77B1B02E7A9}"/>
    <cellStyle name="Normal 8 2 2 2 2 3 2 3" xfId="11630" xr:uid="{F8BCC1BD-0ECF-420C-AE41-0A743F1BD4A1}"/>
    <cellStyle name="Normal 8 2 2 2 2 3 3" xfId="5261" xr:uid="{00000000-0005-0000-0000-00000E1C0000}"/>
    <cellStyle name="Normal 8 2 2 2 2 3 3 2" xfId="13703" xr:uid="{D7198196-359C-4488-9A7B-A60A0B8887F6}"/>
    <cellStyle name="Normal 8 2 2 2 2 3 4" xfId="9485" xr:uid="{E599B95D-06E3-40DE-A09D-0806997CE959}"/>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2 2 2" xfId="16261" xr:uid="{D055285F-2773-4102-AFCB-741BEF81474E}"/>
    <cellStyle name="Normal 8 2 2 2 2 4 2 3" xfId="12043" xr:uid="{D3861345-A76B-4C36-A14C-0366C0C54097}"/>
    <cellStyle name="Normal 8 2 2 2 2 4 3" xfId="5674" xr:uid="{00000000-0005-0000-0000-0000121C0000}"/>
    <cellStyle name="Normal 8 2 2 2 2 4 3 2" xfId="14116" xr:uid="{C8CF68E7-95CE-49C4-B475-AB349B81140F}"/>
    <cellStyle name="Normal 8 2 2 2 2 4 4" xfId="9898" xr:uid="{3240BDFA-D487-48F5-B329-87DB55D1A4F4}"/>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2 2 2" xfId="16674" xr:uid="{F3FE3AF7-B545-49C2-AF98-5EAAC6363633}"/>
    <cellStyle name="Normal 8 2 2 2 2 5 2 3" xfId="12456" xr:uid="{EF0C2F80-E39E-432A-B066-AD53FCD11A4F}"/>
    <cellStyle name="Normal 8 2 2 2 2 5 3" xfId="6087" xr:uid="{00000000-0005-0000-0000-0000161C0000}"/>
    <cellStyle name="Normal 8 2 2 2 2 5 3 2" xfId="14529" xr:uid="{6AF0227E-EB96-442E-8021-97D1E0837118}"/>
    <cellStyle name="Normal 8 2 2 2 2 5 4" xfId="10311" xr:uid="{2A1E6FAA-596B-4D47-84F7-7C1DBDD23DF6}"/>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2 2 2" xfId="17087" xr:uid="{0D781CC4-0DBC-4FE8-B2D2-8E01BB11A776}"/>
    <cellStyle name="Normal 8 2 2 2 2 6 2 3" xfId="12869" xr:uid="{D8BE7440-6ACF-41B3-BFE5-B9E44B36F1C6}"/>
    <cellStyle name="Normal 8 2 2 2 2 6 3" xfId="6500" xr:uid="{00000000-0005-0000-0000-00001A1C0000}"/>
    <cellStyle name="Normal 8 2 2 2 2 6 3 2" xfId="14942" xr:uid="{83D196C9-605B-4CD5-B1E9-FA9F1A84434F}"/>
    <cellStyle name="Normal 8 2 2 2 2 6 4" xfId="10724" xr:uid="{798C16F4-212A-4D9B-872F-F0E3A9223597}"/>
    <cellStyle name="Normal 8 2 2 2 2 7" xfId="2629" xr:uid="{00000000-0005-0000-0000-00001B1C0000}"/>
    <cellStyle name="Normal 8 2 2 2 2 7 2" xfId="6913" xr:uid="{00000000-0005-0000-0000-00001C1C0000}"/>
    <cellStyle name="Normal 8 2 2 2 2 7 2 2" xfId="15355" xr:uid="{32DAC440-0D11-4ACB-AFF8-7B0476DDDE5B}"/>
    <cellStyle name="Normal 8 2 2 2 2 7 3" xfId="11137" xr:uid="{36F4E2F2-9251-4CB2-85CF-B6532E95F108}"/>
    <cellStyle name="Normal 8 2 2 2 2 8" xfId="4848" xr:uid="{00000000-0005-0000-0000-00001D1C0000}"/>
    <cellStyle name="Normal 8 2 2 2 2 8 2" xfId="13290" xr:uid="{2BA7080E-9F88-43AB-8EA9-EB7B99E5EF56}"/>
    <cellStyle name="Normal 8 2 2 2 2 9" xfId="9072" xr:uid="{DD12A615-E779-4F40-BE64-B5B6028E6B38}"/>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2 2 2" xfId="15850" xr:uid="{9705711C-82CB-407F-AD46-FFFB59D32FB7}"/>
    <cellStyle name="Normal 8 2 2 2 3 2 2 3" xfId="11632" xr:uid="{089C7DBA-6AF4-484F-B6FE-1B00F91A2C62}"/>
    <cellStyle name="Normal 8 2 2 2 3 2 3" xfId="5263" xr:uid="{00000000-0005-0000-0000-0000221C0000}"/>
    <cellStyle name="Normal 8 2 2 2 3 2 3 2" xfId="13705" xr:uid="{E8CCFE8F-7AA3-4014-B5EE-1A20DD1AC5FE}"/>
    <cellStyle name="Normal 8 2 2 2 3 2 4" xfId="9487" xr:uid="{A4DCEE8E-22DA-4179-85CF-EED503D315FC}"/>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2 2 2" xfId="16263" xr:uid="{7A85C789-B273-4F9E-A562-5CC2C55462CD}"/>
    <cellStyle name="Normal 8 2 2 2 3 3 2 3" xfId="12045" xr:uid="{FC15CC88-314D-43F1-8805-C59449065811}"/>
    <cellStyle name="Normal 8 2 2 2 3 3 3" xfId="5676" xr:uid="{00000000-0005-0000-0000-0000261C0000}"/>
    <cellStyle name="Normal 8 2 2 2 3 3 3 2" xfId="14118" xr:uid="{18540206-0916-416D-ADF3-CD3EBE8776A0}"/>
    <cellStyle name="Normal 8 2 2 2 3 3 4" xfId="9900" xr:uid="{0C487485-0640-424F-A827-2E41EA9F48D3}"/>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2 2 2" xfId="16676" xr:uid="{09E1F17C-A5C7-4059-8C85-CA3B75BB769A}"/>
    <cellStyle name="Normal 8 2 2 2 3 4 2 3" xfId="12458" xr:uid="{9C0C5BC2-A85C-4B7E-A736-FF02B1FDE210}"/>
    <cellStyle name="Normal 8 2 2 2 3 4 3" xfId="6089" xr:uid="{00000000-0005-0000-0000-00002A1C0000}"/>
    <cellStyle name="Normal 8 2 2 2 3 4 3 2" xfId="14531" xr:uid="{DDB7A08C-1C71-48D3-A1C3-49B4AE084848}"/>
    <cellStyle name="Normal 8 2 2 2 3 4 4" xfId="10313" xr:uid="{11FBE4DC-CBDD-4B40-A9E0-B3A7B85AAE3B}"/>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2 2 2" xfId="17089" xr:uid="{2448E5DF-E407-4B18-B675-9565D6116237}"/>
    <cellStyle name="Normal 8 2 2 2 3 5 2 3" xfId="12871" xr:uid="{297046F7-9F3C-453E-8547-194C48AF8CEF}"/>
    <cellStyle name="Normal 8 2 2 2 3 5 3" xfId="6502" xr:uid="{00000000-0005-0000-0000-00002E1C0000}"/>
    <cellStyle name="Normal 8 2 2 2 3 5 3 2" xfId="14944" xr:uid="{3A283D8A-D315-4CF1-8FF3-9752058A0426}"/>
    <cellStyle name="Normal 8 2 2 2 3 5 4" xfId="10726" xr:uid="{E77E621F-00D3-45B1-B206-629C908F0423}"/>
    <cellStyle name="Normal 8 2 2 2 3 6" xfId="2631" xr:uid="{00000000-0005-0000-0000-00002F1C0000}"/>
    <cellStyle name="Normal 8 2 2 2 3 6 2" xfId="6915" xr:uid="{00000000-0005-0000-0000-0000301C0000}"/>
    <cellStyle name="Normal 8 2 2 2 3 6 2 2" xfId="15357" xr:uid="{B6E72308-2129-4703-98F9-16E6E3C0B694}"/>
    <cellStyle name="Normal 8 2 2 2 3 6 3" xfId="11139" xr:uid="{1A22D16A-957F-47AE-8D91-24A8DB1D15BF}"/>
    <cellStyle name="Normal 8 2 2 2 3 7" xfId="4850" xr:uid="{00000000-0005-0000-0000-0000311C0000}"/>
    <cellStyle name="Normal 8 2 2 2 3 7 2" xfId="13292" xr:uid="{C1575304-58F0-4DD9-9A90-5B7A3E9DCD3B}"/>
    <cellStyle name="Normal 8 2 2 2 3 8" xfId="9074" xr:uid="{34D7AB67-7C62-4F7F-A963-464C25AB2D64}"/>
    <cellStyle name="Normal 8 2 2 2 4" xfId="948" xr:uid="{00000000-0005-0000-0000-0000321C0000}"/>
    <cellStyle name="Normal 8 2 2 2 4 2" xfId="3182" xr:uid="{00000000-0005-0000-0000-0000331C0000}"/>
    <cellStyle name="Normal 8 2 2 2 4 2 2" xfId="7405" xr:uid="{00000000-0005-0000-0000-0000341C0000}"/>
    <cellStyle name="Normal 8 2 2 2 4 2 2 2" xfId="15847" xr:uid="{43E66538-394C-4C68-AC3E-06041086B75C}"/>
    <cellStyle name="Normal 8 2 2 2 4 2 3" xfId="11629" xr:uid="{8442D25A-7723-4B6E-9E5B-B0C3585B98E1}"/>
    <cellStyle name="Normal 8 2 2 2 4 3" xfId="5260" xr:uid="{00000000-0005-0000-0000-0000351C0000}"/>
    <cellStyle name="Normal 8 2 2 2 4 3 2" xfId="13702" xr:uid="{444DB30A-C9C5-4BEE-BBC7-A8A0BB351E18}"/>
    <cellStyle name="Normal 8 2 2 2 4 4" xfId="9484" xr:uid="{B25DA2F3-A350-4A1C-89FD-8B9194A3D804}"/>
    <cellStyle name="Normal 8 2 2 2 5" xfId="1365" xr:uid="{00000000-0005-0000-0000-0000361C0000}"/>
    <cellStyle name="Normal 8 2 2 2 5 2" xfId="3595" xr:uid="{00000000-0005-0000-0000-0000371C0000}"/>
    <cellStyle name="Normal 8 2 2 2 5 2 2" xfId="7818" xr:uid="{00000000-0005-0000-0000-0000381C0000}"/>
    <cellStyle name="Normal 8 2 2 2 5 2 2 2" xfId="16260" xr:uid="{BAD5F5D1-926F-41D0-AB12-2BA1A4F44DA3}"/>
    <cellStyle name="Normal 8 2 2 2 5 2 3" xfId="12042" xr:uid="{A4080C97-C6FB-4FA6-9823-FCFD786F30EE}"/>
    <cellStyle name="Normal 8 2 2 2 5 3" xfId="5673" xr:uid="{00000000-0005-0000-0000-0000391C0000}"/>
    <cellStyle name="Normal 8 2 2 2 5 3 2" xfId="14115" xr:uid="{969CD9F0-9D84-4305-AD5C-FD40DD51EFBC}"/>
    <cellStyle name="Normal 8 2 2 2 5 4" xfId="9897" xr:uid="{1676BDA2-F71C-41F3-94C0-486E172647AC}"/>
    <cellStyle name="Normal 8 2 2 2 6" xfId="1778" xr:uid="{00000000-0005-0000-0000-00003A1C0000}"/>
    <cellStyle name="Normal 8 2 2 2 6 2" xfId="4008" xr:uid="{00000000-0005-0000-0000-00003B1C0000}"/>
    <cellStyle name="Normal 8 2 2 2 6 2 2" xfId="8231" xr:uid="{00000000-0005-0000-0000-00003C1C0000}"/>
    <cellStyle name="Normal 8 2 2 2 6 2 2 2" xfId="16673" xr:uid="{D4691B9A-71AD-4490-BEF1-05D091B353A3}"/>
    <cellStyle name="Normal 8 2 2 2 6 2 3" xfId="12455" xr:uid="{5E948347-C9A4-4F77-99BC-9987FBC955D6}"/>
    <cellStyle name="Normal 8 2 2 2 6 3" xfId="6086" xr:uid="{00000000-0005-0000-0000-00003D1C0000}"/>
    <cellStyle name="Normal 8 2 2 2 6 3 2" xfId="14528" xr:uid="{51C22F18-153B-4940-A6A9-B3355F20C2F8}"/>
    <cellStyle name="Normal 8 2 2 2 6 4" xfId="10310" xr:uid="{6925FBDA-B697-4196-A0B0-2DA214BF1D9B}"/>
    <cellStyle name="Normal 8 2 2 2 7" xfId="2192" xr:uid="{00000000-0005-0000-0000-00003E1C0000}"/>
    <cellStyle name="Normal 8 2 2 2 7 2" xfId="4421" xr:uid="{00000000-0005-0000-0000-00003F1C0000}"/>
    <cellStyle name="Normal 8 2 2 2 7 2 2" xfId="8644" xr:uid="{00000000-0005-0000-0000-0000401C0000}"/>
    <cellStyle name="Normal 8 2 2 2 7 2 2 2" xfId="17086" xr:uid="{9AAEC4B5-C332-4894-9C1F-FC6A0ABC41D5}"/>
    <cellStyle name="Normal 8 2 2 2 7 2 3" xfId="12868" xr:uid="{9008CB08-BFB0-4499-AFDD-179B6A2E99D2}"/>
    <cellStyle name="Normal 8 2 2 2 7 3" xfId="6499" xr:uid="{00000000-0005-0000-0000-0000411C0000}"/>
    <cellStyle name="Normal 8 2 2 2 7 3 2" xfId="14941" xr:uid="{066A8E58-1E82-4A37-A4A3-D614B4018724}"/>
    <cellStyle name="Normal 8 2 2 2 7 4" xfId="10723" xr:uid="{63879DD8-A1CB-4D5A-A412-374DA4EC6E94}"/>
    <cellStyle name="Normal 8 2 2 2 8" xfId="2628" xr:uid="{00000000-0005-0000-0000-0000421C0000}"/>
    <cellStyle name="Normal 8 2 2 2 8 2" xfId="6912" xr:uid="{00000000-0005-0000-0000-0000431C0000}"/>
    <cellStyle name="Normal 8 2 2 2 8 2 2" xfId="15354" xr:uid="{54F18316-8462-4E8F-B6A5-89F05C185B84}"/>
    <cellStyle name="Normal 8 2 2 2 8 3" xfId="11136" xr:uid="{923B91D0-4E57-4B63-9BC9-9A6FBCB83E6A}"/>
    <cellStyle name="Normal 8 2 2 2 9" xfId="4847" xr:uid="{00000000-0005-0000-0000-0000441C0000}"/>
    <cellStyle name="Normal 8 2 2 2 9 2" xfId="13289" xr:uid="{F6F200F3-07B6-4F3E-AF37-6FF446D53BBE}"/>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2 2 2" xfId="15852" xr:uid="{3E5CC985-45B8-4F5A-81FB-88FAE4C40F0D}"/>
    <cellStyle name="Normal 8 2 2 3 2 2 2 3" xfId="11634" xr:uid="{EDB907CE-50DA-4AC7-A43F-03D4A6C35566}"/>
    <cellStyle name="Normal 8 2 2 3 2 2 3" xfId="5265" xr:uid="{00000000-0005-0000-0000-00004A1C0000}"/>
    <cellStyle name="Normal 8 2 2 3 2 2 3 2" xfId="13707" xr:uid="{BD06B558-BBFC-4866-943D-FA21533F5F73}"/>
    <cellStyle name="Normal 8 2 2 3 2 2 4" xfId="9489" xr:uid="{C06F749B-FEFA-4CA2-8E9A-E98588C2D7AF}"/>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2 2 2" xfId="16265" xr:uid="{74D007D6-93A9-4004-8490-EDFE8F7AD6C6}"/>
    <cellStyle name="Normal 8 2 2 3 2 3 2 3" xfId="12047" xr:uid="{E30DDD42-D5F3-4C55-B9BB-6FB565510348}"/>
    <cellStyle name="Normal 8 2 2 3 2 3 3" xfId="5678" xr:uid="{00000000-0005-0000-0000-00004E1C0000}"/>
    <cellStyle name="Normal 8 2 2 3 2 3 3 2" xfId="14120" xr:uid="{BD47ACA1-5346-4866-8FF7-D0CD4C3E3884}"/>
    <cellStyle name="Normal 8 2 2 3 2 3 4" xfId="9902" xr:uid="{0F7FBCE7-7078-4140-9193-D10AE62BD92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2 2 2" xfId="16678" xr:uid="{72626540-1D7B-4783-9426-75C4B831BEB6}"/>
    <cellStyle name="Normal 8 2 2 3 2 4 2 3" xfId="12460" xr:uid="{65A68CCA-B204-41C0-A692-50E9E649BED4}"/>
    <cellStyle name="Normal 8 2 2 3 2 4 3" xfId="6091" xr:uid="{00000000-0005-0000-0000-0000521C0000}"/>
    <cellStyle name="Normal 8 2 2 3 2 4 3 2" xfId="14533" xr:uid="{3171370A-1B13-428D-926F-5DF116FEF4A9}"/>
    <cellStyle name="Normal 8 2 2 3 2 4 4" xfId="10315" xr:uid="{84DBE98D-095D-419D-86D7-BDF53A3DE7EB}"/>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2 2 2" xfId="17091" xr:uid="{7DBFF377-B7B7-4345-9B5C-CA696CAC6125}"/>
    <cellStyle name="Normal 8 2 2 3 2 5 2 3" xfId="12873" xr:uid="{122F0044-4D05-4033-8445-F348B70A1CDB}"/>
    <cellStyle name="Normal 8 2 2 3 2 5 3" xfId="6504" xr:uid="{00000000-0005-0000-0000-0000561C0000}"/>
    <cellStyle name="Normal 8 2 2 3 2 5 3 2" xfId="14946" xr:uid="{636AF23B-7926-4233-9C6D-F565553F38C7}"/>
    <cellStyle name="Normal 8 2 2 3 2 5 4" xfId="10728" xr:uid="{63A9CE5C-0ECA-425F-8FB4-CD0041F0E662}"/>
    <cellStyle name="Normal 8 2 2 3 2 6" xfId="2633" xr:uid="{00000000-0005-0000-0000-0000571C0000}"/>
    <cellStyle name="Normal 8 2 2 3 2 6 2" xfId="6917" xr:uid="{00000000-0005-0000-0000-0000581C0000}"/>
    <cellStyle name="Normal 8 2 2 3 2 6 2 2" xfId="15359" xr:uid="{3A87C0F2-3B8E-40E9-B4E6-5CD7099B398F}"/>
    <cellStyle name="Normal 8 2 2 3 2 6 3" xfId="11141" xr:uid="{FFC10991-3C60-4257-AE7C-B370906C2D00}"/>
    <cellStyle name="Normal 8 2 2 3 2 7" xfId="4852" xr:uid="{00000000-0005-0000-0000-0000591C0000}"/>
    <cellStyle name="Normal 8 2 2 3 2 7 2" xfId="13294" xr:uid="{8272A9E5-2DD6-4152-8C91-81F2E9931D5C}"/>
    <cellStyle name="Normal 8 2 2 3 2 8" xfId="9076" xr:uid="{068A15DC-4F34-490A-9FF7-DEE6CD7B5330}"/>
    <cellStyle name="Normal 8 2 2 3 3" xfId="952" xr:uid="{00000000-0005-0000-0000-00005A1C0000}"/>
    <cellStyle name="Normal 8 2 2 3 3 2" xfId="3186" xr:uid="{00000000-0005-0000-0000-00005B1C0000}"/>
    <cellStyle name="Normal 8 2 2 3 3 2 2" xfId="7409" xr:uid="{00000000-0005-0000-0000-00005C1C0000}"/>
    <cellStyle name="Normal 8 2 2 3 3 2 2 2" xfId="15851" xr:uid="{198BB6B5-0F0A-40EB-9875-AB90B850DC4F}"/>
    <cellStyle name="Normal 8 2 2 3 3 2 3" xfId="11633" xr:uid="{0CBFDE56-591E-4FC0-B097-D7D75FA73BC6}"/>
    <cellStyle name="Normal 8 2 2 3 3 3" xfId="5264" xr:uid="{00000000-0005-0000-0000-00005D1C0000}"/>
    <cellStyle name="Normal 8 2 2 3 3 3 2" xfId="13706" xr:uid="{62A78ECD-F754-4391-80EF-81276865C20C}"/>
    <cellStyle name="Normal 8 2 2 3 3 4" xfId="9488" xr:uid="{BF9ADBBB-F190-405D-A3E8-21F81879987D}"/>
    <cellStyle name="Normal 8 2 2 3 4" xfId="1369" xr:uid="{00000000-0005-0000-0000-00005E1C0000}"/>
    <cellStyle name="Normal 8 2 2 3 4 2" xfId="3599" xr:uid="{00000000-0005-0000-0000-00005F1C0000}"/>
    <cellStyle name="Normal 8 2 2 3 4 2 2" xfId="7822" xr:uid="{00000000-0005-0000-0000-0000601C0000}"/>
    <cellStyle name="Normal 8 2 2 3 4 2 2 2" xfId="16264" xr:uid="{126CC784-0C14-4498-919E-3A811298FBF0}"/>
    <cellStyle name="Normal 8 2 2 3 4 2 3" xfId="12046" xr:uid="{202AA576-898D-4DA4-9AA7-6863CDD8F8A1}"/>
    <cellStyle name="Normal 8 2 2 3 4 3" xfId="5677" xr:uid="{00000000-0005-0000-0000-0000611C0000}"/>
    <cellStyle name="Normal 8 2 2 3 4 3 2" xfId="14119" xr:uid="{DA4B1103-3AA3-4420-A973-E9AD30C4E5C1}"/>
    <cellStyle name="Normal 8 2 2 3 4 4" xfId="9901" xr:uid="{1B2CBBF9-B94F-46B0-958F-BB1F8B3057A1}"/>
    <cellStyle name="Normal 8 2 2 3 5" xfId="1782" xr:uid="{00000000-0005-0000-0000-0000621C0000}"/>
    <cellStyle name="Normal 8 2 2 3 5 2" xfId="4012" xr:uid="{00000000-0005-0000-0000-0000631C0000}"/>
    <cellStyle name="Normal 8 2 2 3 5 2 2" xfId="8235" xr:uid="{00000000-0005-0000-0000-0000641C0000}"/>
    <cellStyle name="Normal 8 2 2 3 5 2 2 2" xfId="16677" xr:uid="{F8E27125-B153-463E-B330-B1AAA84FE864}"/>
    <cellStyle name="Normal 8 2 2 3 5 2 3" xfId="12459" xr:uid="{ACBAC805-C8BA-45E3-B0B5-776090207ED6}"/>
    <cellStyle name="Normal 8 2 2 3 5 3" xfId="6090" xr:uid="{00000000-0005-0000-0000-0000651C0000}"/>
    <cellStyle name="Normal 8 2 2 3 5 3 2" xfId="14532" xr:uid="{3715B224-0222-419A-9351-ACFD10990C96}"/>
    <cellStyle name="Normal 8 2 2 3 5 4" xfId="10314" xr:uid="{BFE0637A-2D8D-4818-BE34-17F69062B5C0}"/>
    <cellStyle name="Normal 8 2 2 3 6" xfId="2196" xr:uid="{00000000-0005-0000-0000-0000661C0000}"/>
    <cellStyle name="Normal 8 2 2 3 6 2" xfId="4425" xr:uid="{00000000-0005-0000-0000-0000671C0000}"/>
    <cellStyle name="Normal 8 2 2 3 6 2 2" xfId="8648" xr:uid="{00000000-0005-0000-0000-0000681C0000}"/>
    <cellStyle name="Normal 8 2 2 3 6 2 2 2" xfId="17090" xr:uid="{1C972EBF-1F6C-42D6-A6F4-057FBFDD9DFA}"/>
    <cellStyle name="Normal 8 2 2 3 6 2 3" xfId="12872" xr:uid="{3D04D511-D5D8-41BA-BC1E-0864E9D5E723}"/>
    <cellStyle name="Normal 8 2 2 3 6 3" xfId="6503" xr:uid="{00000000-0005-0000-0000-0000691C0000}"/>
    <cellStyle name="Normal 8 2 2 3 6 3 2" xfId="14945" xr:uid="{4EE9BFEB-B2CA-4576-9311-D42ABFA079A6}"/>
    <cellStyle name="Normal 8 2 2 3 6 4" xfId="10727" xr:uid="{58CA6C8F-ED67-4AF1-800C-BC863C3E194D}"/>
    <cellStyle name="Normal 8 2 2 3 7" xfId="2632" xr:uid="{00000000-0005-0000-0000-00006A1C0000}"/>
    <cellStyle name="Normal 8 2 2 3 7 2" xfId="6916" xr:uid="{00000000-0005-0000-0000-00006B1C0000}"/>
    <cellStyle name="Normal 8 2 2 3 7 2 2" xfId="15358" xr:uid="{F04AE903-DE13-485C-9526-E93E43790252}"/>
    <cellStyle name="Normal 8 2 2 3 7 3" xfId="11140" xr:uid="{6D2135DB-7025-4541-97B8-B28D0F9C28D1}"/>
    <cellStyle name="Normal 8 2 2 3 8" xfId="4851" xr:uid="{00000000-0005-0000-0000-00006C1C0000}"/>
    <cellStyle name="Normal 8 2 2 3 8 2" xfId="13293" xr:uid="{B9C4B2FC-E99E-4A02-9AAF-0B29F29FB10E}"/>
    <cellStyle name="Normal 8 2 2 3 9" xfId="9075" xr:uid="{0A57D7E0-D264-48F0-B1EC-843EFF41A112}"/>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2 2 2" xfId="15853" xr:uid="{AF32DC73-1D0A-4E89-9D59-691B21EF9D1E}"/>
    <cellStyle name="Normal 8 2 2 4 2 2 3" xfId="11635" xr:uid="{DF8F628C-374A-4B2D-B67B-613C52D6ED46}"/>
    <cellStyle name="Normal 8 2 2 4 2 3" xfId="5266" xr:uid="{00000000-0005-0000-0000-0000711C0000}"/>
    <cellStyle name="Normal 8 2 2 4 2 3 2" xfId="13708" xr:uid="{0C919A5C-2E25-4C31-8FD9-0C3D404A23A3}"/>
    <cellStyle name="Normal 8 2 2 4 2 4" xfId="9490" xr:uid="{1FE3073B-915D-49C6-B9EA-A65EDFD87879}"/>
    <cellStyle name="Normal 8 2 2 4 3" xfId="1371" xr:uid="{00000000-0005-0000-0000-0000721C0000}"/>
    <cellStyle name="Normal 8 2 2 4 3 2" xfId="3601" xr:uid="{00000000-0005-0000-0000-0000731C0000}"/>
    <cellStyle name="Normal 8 2 2 4 3 2 2" xfId="7824" xr:uid="{00000000-0005-0000-0000-0000741C0000}"/>
    <cellStyle name="Normal 8 2 2 4 3 2 2 2" xfId="16266" xr:uid="{60D064C6-EF80-47D3-AE9E-53DC3B85C52F}"/>
    <cellStyle name="Normal 8 2 2 4 3 2 3" xfId="12048" xr:uid="{BA893DEB-2758-4511-9A17-0480F71BDA57}"/>
    <cellStyle name="Normal 8 2 2 4 3 3" xfId="5679" xr:uid="{00000000-0005-0000-0000-0000751C0000}"/>
    <cellStyle name="Normal 8 2 2 4 3 3 2" xfId="14121" xr:uid="{DDABE2E7-89B9-4521-8DFE-9B48299E2F51}"/>
    <cellStyle name="Normal 8 2 2 4 3 4" xfId="9903" xr:uid="{0D88E18A-45C7-481C-BD8F-7D423B3CA4A5}"/>
    <cellStyle name="Normal 8 2 2 4 4" xfId="1784" xr:uid="{00000000-0005-0000-0000-0000761C0000}"/>
    <cellStyle name="Normal 8 2 2 4 4 2" xfId="4014" xr:uid="{00000000-0005-0000-0000-0000771C0000}"/>
    <cellStyle name="Normal 8 2 2 4 4 2 2" xfId="8237" xr:uid="{00000000-0005-0000-0000-0000781C0000}"/>
    <cellStyle name="Normal 8 2 2 4 4 2 2 2" xfId="16679" xr:uid="{1C2B6CD6-6E9D-4EEB-8A4F-21E2F3AB90D2}"/>
    <cellStyle name="Normal 8 2 2 4 4 2 3" xfId="12461" xr:uid="{C7CC1AAE-1EE0-49C0-B48A-E65A9EB26985}"/>
    <cellStyle name="Normal 8 2 2 4 4 3" xfId="6092" xr:uid="{00000000-0005-0000-0000-0000791C0000}"/>
    <cellStyle name="Normal 8 2 2 4 4 3 2" xfId="14534" xr:uid="{B2FE4784-EEB5-48A7-AB3B-E407E182C0A3}"/>
    <cellStyle name="Normal 8 2 2 4 4 4" xfId="10316" xr:uid="{ACE456B5-AC54-4FF6-ADB3-6F626518BDDC}"/>
    <cellStyle name="Normal 8 2 2 4 5" xfId="2198" xr:uid="{00000000-0005-0000-0000-00007A1C0000}"/>
    <cellStyle name="Normal 8 2 2 4 5 2" xfId="4427" xr:uid="{00000000-0005-0000-0000-00007B1C0000}"/>
    <cellStyle name="Normal 8 2 2 4 5 2 2" xfId="8650" xr:uid="{00000000-0005-0000-0000-00007C1C0000}"/>
    <cellStyle name="Normal 8 2 2 4 5 2 2 2" xfId="17092" xr:uid="{AE1628BA-184F-4C19-A8C5-08F55C7D3D36}"/>
    <cellStyle name="Normal 8 2 2 4 5 2 3" xfId="12874" xr:uid="{AD15021F-3BB4-4B6B-99FA-C856AB084041}"/>
    <cellStyle name="Normal 8 2 2 4 5 3" xfId="6505" xr:uid="{00000000-0005-0000-0000-00007D1C0000}"/>
    <cellStyle name="Normal 8 2 2 4 5 3 2" xfId="14947" xr:uid="{B0A86D1A-B55C-4595-968A-8A570D61EBA6}"/>
    <cellStyle name="Normal 8 2 2 4 5 4" xfId="10729" xr:uid="{D97E6D98-CFFF-4FCE-B042-05603E1D97AF}"/>
    <cellStyle name="Normal 8 2 2 4 6" xfId="2634" xr:uid="{00000000-0005-0000-0000-00007E1C0000}"/>
    <cellStyle name="Normal 8 2 2 4 6 2" xfId="6918" xr:uid="{00000000-0005-0000-0000-00007F1C0000}"/>
    <cellStyle name="Normal 8 2 2 4 6 2 2" xfId="15360" xr:uid="{2A406426-599A-47B0-8462-3A9F690C8735}"/>
    <cellStyle name="Normal 8 2 2 4 6 3" xfId="11142" xr:uid="{7D9E05FF-FCD8-45D5-89AB-1A95EF0DC13C}"/>
    <cellStyle name="Normal 8 2 2 4 7" xfId="4853" xr:uid="{00000000-0005-0000-0000-0000801C0000}"/>
    <cellStyle name="Normal 8 2 2 4 7 2" xfId="13295" xr:uid="{28350766-4F92-4999-A9AE-ADBAC56035CF}"/>
    <cellStyle name="Normal 8 2 2 4 8" xfId="9077" xr:uid="{8C4A6E4B-8C9A-4433-8B3F-92C599DC33F7}"/>
    <cellStyle name="Normal 8 2 2 5" xfId="947" xr:uid="{00000000-0005-0000-0000-0000811C0000}"/>
    <cellStyle name="Normal 8 2 2 5 2" xfId="3181" xr:uid="{00000000-0005-0000-0000-0000821C0000}"/>
    <cellStyle name="Normal 8 2 2 5 2 2" xfId="7404" xr:uid="{00000000-0005-0000-0000-0000831C0000}"/>
    <cellStyle name="Normal 8 2 2 5 2 2 2" xfId="15846" xr:uid="{D36282FD-3FAB-4708-BA05-96B5EBA9B103}"/>
    <cellStyle name="Normal 8 2 2 5 2 3" xfId="11628" xr:uid="{113A8338-3EBC-4C0F-B41C-83C805216A09}"/>
    <cellStyle name="Normal 8 2 2 5 3" xfId="5259" xr:uid="{00000000-0005-0000-0000-0000841C0000}"/>
    <cellStyle name="Normal 8 2 2 5 3 2" xfId="13701" xr:uid="{4E0DFFC7-819C-4417-BE8E-060B0301CB37}"/>
    <cellStyle name="Normal 8 2 2 5 4" xfId="9483" xr:uid="{5E6C1611-9612-4DBD-9322-0A46A2DC1ABB}"/>
    <cellStyle name="Normal 8 2 2 6" xfId="1364" xr:uid="{00000000-0005-0000-0000-0000851C0000}"/>
    <cellStyle name="Normal 8 2 2 6 2" xfId="3594" xr:uid="{00000000-0005-0000-0000-0000861C0000}"/>
    <cellStyle name="Normal 8 2 2 6 2 2" xfId="7817" xr:uid="{00000000-0005-0000-0000-0000871C0000}"/>
    <cellStyle name="Normal 8 2 2 6 2 2 2" xfId="16259" xr:uid="{0C7F969B-83F4-4FE3-8660-57AB541EE45B}"/>
    <cellStyle name="Normal 8 2 2 6 2 3" xfId="12041" xr:uid="{01FC350C-7651-4BA1-A062-E77C920C9FB3}"/>
    <cellStyle name="Normal 8 2 2 6 3" xfId="5672" xr:uid="{00000000-0005-0000-0000-0000881C0000}"/>
    <cellStyle name="Normal 8 2 2 6 3 2" xfId="14114" xr:uid="{22351E62-853C-48AD-A093-CE062D8886CB}"/>
    <cellStyle name="Normal 8 2 2 6 4" xfId="9896" xr:uid="{365EF703-BB84-4961-9175-69C46E95C8A4}"/>
    <cellStyle name="Normal 8 2 2 7" xfId="1777" xr:uid="{00000000-0005-0000-0000-0000891C0000}"/>
    <cellStyle name="Normal 8 2 2 7 2" xfId="4007" xr:uid="{00000000-0005-0000-0000-00008A1C0000}"/>
    <cellStyle name="Normal 8 2 2 7 2 2" xfId="8230" xr:uid="{00000000-0005-0000-0000-00008B1C0000}"/>
    <cellStyle name="Normal 8 2 2 7 2 2 2" xfId="16672" xr:uid="{364FA581-57D4-444D-94E1-5E4C8F48EF28}"/>
    <cellStyle name="Normal 8 2 2 7 2 3" xfId="12454" xr:uid="{1296D1A8-45DF-4A18-BDE6-ED6ADD1411D1}"/>
    <cellStyle name="Normal 8 2 2 7 3" xfId="6085" xr:uid="{00000000-0005-0000-0000-00008C1C0000}"/>
    <cellStyle name="Normal 8 2 2 7 3 2" xfId="14527" xr:uid="{2792B21E-08CE-491A-A2E2-BEC3E96B05D6}"/>
    <cellStyle name="Normal 8 2 2 7 4" xfId="10309" xr:uid="{404FCD1C-179C-4435-96B7-5446E462EC05}"/>
    <cellStyle name="Normal 8 2 2 8" xfId="2191" xr:uid="{00000000-0005-0000-0000-00008D1C0000}"/>
    <cellStyle name="Normal 8 2 2 8 2" xfId="4420" xr:uid="{00000000-0005-0000-0000-00008E1C0000}"/>
    <cellStyle name="Normal 8 2 2 8 2 2" xfId="8643" xr:uid="{00000000-0005-0000-0000-00008F1C0000}"/>
    <cellStyle name="Normal 8 2 2 8 2 2 2" xfId="17085" xr:uid="{BB45908A-131E-4624-8DA3-657D82BF6E23}"/>
    <cellStyle name="Normal 8 2 2 8 2 3" xfId="12867" xr:uid="{6941F558-56B9-43D1-886A-CDD242EBEC27}"/>
    <cellStyle name="Normal 8 2 2 8 3" xfId="6498" xr:uid="{00000000-0005-0000-0000-0000901C0000}"/>
    <cellStyle name="Normal 8 2 2 8 3 2" xfId="14940" xr:uid="{486A7876-09C2-4ACB-AED4-33EB963BC19C}"/>
    <cellStyle name="Normal 8 2 2 8 4" xfId="10722" xr:uid="{EDA117AE-7F23-41A8-8F55-B692ADF1E1CE}"/>
    <cellStyle name="Normal 8 2 2 9" xfId="2627" xr:uid="{00000000-0005-0000-0000-0000911C0000}"/>
    <cellStyle name="Normal 8 2 2 9 2" xfId="6911" xr:uid="{00000000-0005-0000-0000-0000921C0000}"/>
    <cellStyle name="Normal 8 2 2 9 2 2" xfId="15353" xr:uid="{1C8BD459-E0CB-4295-92C8-C2339FB11877}"/>
    <cellStyle name="Normal 8 2 2 9 3" xfId="11135" xr:uid="{9627AEA7-09A0-4452-B614-897B023EC6C6}"/>
    <cellStyle name="Normal 8 2 3" xfId="488" xr:uid="{00000000-0005-0000-0000-0000931C0000}"/>
    <cellStyle name="Normal 8 2 3 10" xfId="9078" xr:uid="{5C9CED28-420F-415A-80FD-EF866DAEFDD2}"/>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2 2 2" xfId="15856" xr:uid="{774FE5EF-942D-4661-A95B-66214B6E1578}"/>
    <cellStyle name="Normal 8 2 3 2 2 2 2 3" xfId="11638" xr:uid="{205D99BE-5ECE-4FA3-B260-128A1E28FCCC}"/>
    <cellStyle name="Normal 8 2 3 2 2 2 3" xfId="5269" xr:uid="{00000000-0005-0000-0000-0000991C0000}"/>
    <cellStyle name="Normal 8 2 3 2 2 2 3 2" xfId="13711" xr:uid="{E40D805A-6201-4385-B24A-41ACE8465F0A}"/>
    <cellStyle name="Normal 8 2 3 2 2 2 4" xfId="9493" xr:uid="{F72F28DC-8C71-422C-A23F-5EFAB626EDC4}"/>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2 2 2" xfId="16269" xr:uid="{4AEF4E0B-B9D2-4163-84DE-23D98528FE5E}"/>
    <cellStyle name="Normal 8 2 3 2 2 3 2 3" xfId="12051" xr:uid="{08C9F621-E181-4A10-8069-A0E371DBD435}"/>
    <cellStyle name="Normal 8 2 3 2 2 3 3" xfId="5682" xr:uid="{00000000-0005-0000-0000-00009D1C0000}"/>
    <cellStyle name="Normal 8 2 3 2 2 3 3 2" xfId="14124" xr:uid="{29B6A11A-EB77-45A9-A503-9FFF4EE054B5}"/>
    <cellStyle name="Normal 8 2 3 2 2 3 4" xfId="9906" xr:uid="{CDB6D81A-2EE0-4BA1-AA90-AA2F24EA5737}"/>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2 2 2" xfId="16682" xr:uid="{9D5C11F1-3576-4A16-B758-7A1A3665FBBA}"/>
    <cellStyle name="Normal 8 2 3 2 2 4 2 3" xfId="12464" xr:uid="{5AF0D2C7-3006-4B0E-BA8C-8E40FE43A5B4}"/>
    <cellStyle name="Normal 8 2 3 2 2 4 3" xfId="6095" xr:uid="{00000000-0005-0000-0000-0000A11C0000}"/>
    <cellStyle name="Normal 8 2 3 2 2 4 3 2" xfId="14537" xr:uid="{A73A627D-D3BF-40CA-9275-B73BF5F13063}"/>
    <cellStyle name="Normal 8 2 3 2 2 4 4" xfId="10319" xr:uid="{01520422-254C-419A-87C1-86DFD0028346}"/>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2 2 2" xfId="17095" xr:uid="{1D18737F-55C7-4CA7-B58B-7D693B406DF1}"/>
    <cellStyle name="Normal 8 2 3 2 2 5 2 3" xfId="12877" xr:uid="{FBEACF65-DC42-4577-8945-AE1FA0AF878E}"/>
    <cellStyle name="Normal 8 2 3 2 2 5 3" xfId="6508" xr:uid="{00000000-0005-0000-0000-0000A51C0000}"/>
    <cellStyle name="Normal 8 2 3 2 2 5 3 2" xfId="14950" xr:uid="{919D5B3A-AC31-4795-8BA5-E8881B020155}"/>
    <cellStyle name="Normal 8 2 3 2 2 5 4" xfId="10732" xr:uid="{FDC1353A-0779-4039-9D6F-EA85AAE669EE}"/>
    <cellStyle name="Normal 8 2 3 2 2 6" xfId="2637" xr:uid="{00000000-0005-0000-0000-0000A61C0000}"/>
    <cellStyle name="Normal 8 2 3 2 2 6 2" xfId="6921" xr:uid="{00000000-0005-0000-0000-0000A71C0000}"/>
    <cellStyle name="Normal 8 2 3 2 2 6 2 2" xfId="15363" xr:uid="{FDA149E1-6514-4575-8357-FA797C61A554}"/>
    <cellStyle name="Normal 8 2 3 2 2 6 3" xfId="11145" xr:uid="{E76D59BF-E8E4-46BF-B355-6324AD68A268}"/>
    <cellStyle name="Normal 8 2 3 2 2 7" xfId="4856" xr:uid="{00000000-0005-0000-0000-0000A81C0000}"/>
    <cellStyle name="Normal 8 2 3 2 2 7 2" xfId="13298" xr:uid="{D0643044-6FB5-4840-A4ED-C752BE1AE6F5}"/>
    <cellStyle name="Normal 8 2 3 2 2 8" xfId="9080" xr:uid="{AEEBA891-181F-44BD-8606-01D0ECC77CEC}"/>
    <cellStyle name="Normal 8 2 3 2 3" xfId="956" xr:uid="{00000000-0005-0000-0000-0000A91C0000}"/>
    <cellStyle name="Normal 8 2 3 2 3 2" xfId="3190" xr:uid="{00000000-0005-0000-0000-0000AA1C0000}"/>
    <cellStyle name="Normal 8 2 3 2 3 2 2" xfId="7413" xr:uid="{00000000-0005-0000-0000-0000AB1C0000}"/>
    <cellStyle name="Normal 8 2 3 2 3 2 2 2" xfId="15855" xr:uid="{C4742407-313E-4E4B-A34E-877F6BA22FFA}"/>
    <cellStyle name="Normal 8 2 3 2 3 2 3" xfId="11637" xr:uid="{BEE16431-4441-46EE-9174-06EA5B68A932}"/>
    <cellStyle name="Normal 8 2 3 2 3 3" xfId="5268" xr:uid="{00000000-0005-0000-0000-0000AC1C0000}"/>
    <cellStyle name="Normal 8 2 3 2 3 3 2" xfId="13710" xr:uid="{98C54068-4840-4681-B54B-B6DA3199E1E6}"/>
    <cellStyle name="Normal 8 2 3 2 3 4" xfId="9492" xr:uid="{93A51EE9-DB87-4F6F-AF84-0F04EAD97586}"/>
    <cellStyle name="Normal 8 2 3 2 4" xfId="1373" xr:uid="{00000000-0005-0000-0000-0000AD1C0000}"/>
    <cellStyle name="Normal 8 2 3 2 4 2" xfId="3603" xr:uid="{00000000-0005-0000-0000-0000AE1C0000}"/>
    <cellStyle name="Normal 8 2 3 2 4 2 2" xfId="7826" xr:uid="{00000000-0005-0000-0000-0000AF1C0000}"/>
    <cellStyle name="Normal 8 2 3 2 4 2 2 2" xfId="16268" xr:uid="{EB494B87-F8A6-4E83-83E8-B07D79B4B256}"/>
    <cellStyle name="Normal 8 2 3 2 4 2 3" xfId="12050" xr:uid="{43E1F7A8-23DE-41B4-AF1C-7ECF01BFEC2B}"/>
    <cellStyle name="Normal 8 2 3 2 4 3" xfId="5681" xr:uid="{00000000-0005-0000-0000-0000B01C0000}"/>
    <cellStyle name="Normal 8 2 3 2 4 3 2" xfId="14123" xr:uid="{5A673F28-1885-4C82-A621-60AA42FB3FF3}"/>
    <cellStyle name="Normal 8 2 3 2 4 4" xfId="9905" xr:uid="{34707B4E-EAD9-48FA-8C85-1BBB01063180}"/>
    <cellStyle name="Normal 8 2 3 2 5" xfId="1786" xr:uid="{00000000-0005-0000-0000-0000B11C0000}"/>
    <cellStyle name="Normal 8 2 3 2 5 2" xfId="4016" xr:uid="{00000000-0005-0000-0000-0000B21C0000}"/>
    <cellStyle name="Normal 8 2 3 2 5 2 2" xfId="8239" xr:uid="{00000000-0005-0000-0000-0000B31C0000}"/>
    <cellStyle name="Normal 8 2 3 2 5 2 2 2" xfId="16681" xr:uid="{94936FC1-0E8E-47EC-9859-340B3F824345}"/>
    <cellStyle name="Normal 8 2 3 2 5 2 3" xfId="12463" xr:uid="{07205637-3403-4643-A21E-69A4DEF3ED39}"/>
    <cellStyle name="Normal 8 2 3 2 5 3" xfId="6094" xr:uid="{00000000-0005-0000-0000-0000B41C0000}"/>
    <cellStyle name="Normal 8 2 3 2 5 3 2" xfId="14536" xr:uid="{235F3854-E90F-47F6-84F5-27890969CC5C}"/>
    <cellStyle name="Normal 8 2 3 2 5 4" xfId="10318" xr:uid="{8BC68817-7CC2-4D9C-812F-DDEADEE560CA}"/>
    <cellStyle name="Normal 8 2 3 2 6" xfId="2200" xr:uid="{00000000-0005-0000-0000-0000B51C0000}"/>
    <cellStyle name="Normal 8 2 3 2 6 2" xfId="4429" xr:uid="{00000000-0005-0000-0000-0000B61C0000}"/>
    <cellStyle name="Normal 8 2 3 2 6 2 2" xfId="8652" xr:uid="{00000000-0005-0000-0000-0000B71C0000}"/>
    <cellStyle name="Normal 8 2 3 2 6 2 2 2" xfId="17094" xr:uid="{B583501F-909A-4F77-8423-C018CFFE9A3C}"/>
    <cellStyle name="Normal 8 2 3 2 6 2 3" xfId="12876" xr:uid="{4FE926AE-6E34-46F8-92E8-B62FEAD140D0}"/>
    <cellStyle name="Normal 8 2 3 2 6 3" xfId="6507" xr:uid="{00000000-0005-0000-0000-0000B81C0000}"/>
    <cellStyle name="Normal 8 2 3 2 6 3 2" xfId="14949" xr:uid="{DE305A9C-6887-46D3-AE41-013CFB9739E5}"/>
    <cellStyle name="Normal 8 2 3 2 6 4" xfId="10731" xr:uid="{047D7912-F8F1-490E-9F1F-281E4D781E8F}"/>
    <cellStyle name="Normal 8 2 3 2 7" xfId="2636" xr:uid="{00000000-0005-0000-0000-0000B91C0000}"/>
    <cellStyle name="Normal 8 2 3 2 7 2" xfId="6920" xr:uid="{00000000-0005-0000-0000-0000BA1C0000}"/>
    <cellStyle name="Normal 8 2 3 2 7 2 2" xfId="15362" xr:uid="{5A5EDDE4-0D2F-461E-8D5F-3DF8C7F54DA3}"/>
    <cellStyle name="Normal 8 2 3 2 7 3" xfId="11144" xr:uid="{CBFB0E00-B2AA-478D-951E-3C6A82B7FA72}"/>
    <cellStyle name="Normal 8 2 3 2 8" xfId="4855" xr:uid="{00000000-0005-0000-0000-0000BB1C0000}"/>
    <cellStyle name="Normal 8 2 3 2 8 2" xfId="13297" xr:uid="{23A06842-0202-4D2C-B4ED-C340E0C89A0A}"/>
    <cellStyle name="Normal 8 2 3 2 9" xfId="9079" xr:uid="{5C5DD230-283E-492B-9170-A10B4008E7D5}"/>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2 2 2" xfId="15857" xr:uid="{83F768E4-C3B9-4E89-8C65-FE13967914AA}"/>
    <cellStyle name="Normal 8 2 3 3 2 2 3" xfId="11639" xr:uid="{BFDC90DE-22BF-496F-800A-07053D0FDAA9}"/>
    <cellStyle name="Normal 8 2 3 3 2 3" xfId="5270" xr:uid="{00000000-0005-0000-0000-0000C01C0000}"/>
    <cellStyle name="Normal 8 2 3 3 2 3 2" xfId="13712" xr:uid="{4AD89D1E-D859-4271-9F87-3900CB1B9BCE}"/>
    <cellStyle name="Normal 8 2 3 3 2 4" xfId="9494" xr:uid="{84C9F2C5-8D88-4F25-9527-F26F8978F394}"/>
    <cellStyle name="Normal 8 2 3 3 3" xfId="1375" xr:uid="{00000000-0005-0000-0000-0000C11C0000}"/>
    <cellStyle name="Normal 8 2 3 3 3 2" xfId="3605" xr:uid="{00000000-0005-0000-0000-0000C21C0000}"/>
    <cellStyle name="Normal 8 2 3 3 3 2 2" xfId="7828" xr:uid="{00000000-0005-0000-0000-0000C31C0000}"/>
    <cellStyle name="Normal 8 2 3 3 3 2 2 2" xfId="16270" xr:uid="{D75F13C6-3AD2-40FE-BE8F-E6B06FC85FBB}"/>
    <cellStyle name="Normal 8 2 3 3 3 2 3" xfId="12052" xr:uid="{3A9F61B8-38E9-4566-AE22-67E29DA3D749}"/>
    <cellStyle name="Normal 8 2 3 3 3 3" xfId="5683" xr:uid="{00000000-0005-0000-0000-0000C41C0000}"/>
    <cellStyle name="Normal 8 2 3 3 3 3 2" xfId="14125" xr:uid="{D4ECDB74-C174-4FC2-9884-7950C7DD090E}"/>
    <cellStyle name="Normal 8 2 3 3 3 4" xfId="9907" xr:uid="{F32F19E5-F6AF-46C9-9E35-0A4DDD2541B4}"/>
    <cellStyle name="Normal 8 2 3 3 4" xfId="1788" xr:uid="{00000000-0005-0000-0000-0000C51C0000}"/>
    <cellStyle name="Normal 8 2 3 3 4 2" xfId="4018" xr:uid="{00000000-0005-0000-0000-0000C61C0000}"/>
    <cellStyle name="Normal 8 2 3 3 4 2 2" xfId="8241" xr:uid="{00000000-0005-0000-0000-0000C71C0000}"/>
    <cellStyle name="Normal 8 2 3 3 4 2 2 2" xfId="16683" xr:uid="{3B8118FC-F67C-42E5-8602-FD46A19E723A}"/>
    <cellStyle name="Normal 8 2 3 3 4 2 3" xfId="12465" xr:uid="{C07ACAA3-99DE-4456-A83D-BF9B1F7B93B6}"/>
    <cellStyle name="Normal 8 2 3 3 4 3" xfId="6096" xr:uid="{00000000-0005-0000-0000-0000C81C0000}"/>
    <cellStyle name="Normal 8 2 3 3 4 3 2" xfId="14538" xr:uid="{7E7AF6E1-B445-4BE1-9D23-D2BCD08A1A89}"/>
    <cellStyle name="Normal 8 2 3 3 4 4" xfId="10320" xr:uid="{F5E96370-385D-4DCD-AF30-F378E7517E5B}"/>
    <cellStyle name="Normal 8 2 3 3 5" xfId="2202" xr:uid="{00000000-0005-0000-0000-0000C91C0000}"/>
    <cellStyle name="Normal 8 2 3 3 5 2" xfId="4431" xr:uid="{00000000-0005-0000-0000-0000CA1C0000}"/>
    <cellStyle name="Normal 8 2 3 3 5 2 2" xfId="8654" xr:uid="{00000000-0005-0000-0000-0000CB1C0000}"/>
    <cellStyle name="Normal 8 2 3 3 5 2 2 2" xfId="17096" xr:uid="{E430605A-9EC3-4778-B254-33D9549F01F2}"/>
    <cellStyle name="Normal 8 2 3 3 5 2 3" xfId="12878" xr:uid="{06412816-B515-44BF-A38E-2E613829A04E}"/>
    <cellStyle name="Normal 8 2 3 3 5 3" xfId="6509" xr:uid="{00000000-0005-0000-0000-0000CC1C0000}"/>
    <cellStyle name="Normal 8 2 3 3 5 3 2" xfId="14951" xr:uid="{E17EE755-026F-4B9D-8E18-84EE9043C64C}"/>
    <cellStyle name="Normal 8 2 3 3 5 4" xfId="10733" xr:uid="{1BB7BEEF-4A9A-46FF-91E9-55C370B0FA78}"/>
    <cellStyle name="Normal 8 2 3 3 6" xfId="2638" xr:uid="{00000000-0005-0000-0000-0000CD1C0000}"/>
    <cellStyle name="Normal 8 2 3 3 6 2" xfId="6922" xr:uid="{00000000-0005-0000-0000-0000CE1C0000}"/>
    <cellStyle name="Normal 8 2 3 3 6 2 2" xfId="15364" xr:uid="{669933B1-94A9-4144-A4D2-88283C51F782}"/>
    <cellStyle name="Normal 8 2 3 3 6 3" xfId="11146" xr:uid="{8F662A92-8B7A-4669-A666-8AD3EC85C4DB}"/>
    <cellStyle name="Normal 8 2 3 3 7" xfId="4857" xr:uid="{00000000-0005-0000-0000-0000CF1C0000}"/>
    <cellStyle name="Normal 8 2 3 3 7 2" xfId="13299" xr:uid="{45E5B0B9-1E38-40B7-ABE6-1BEA75274D43}"/>
    <cellStyle name="Normal 8 2 3 3 8" xfId="9081" xr:uid="{9C84EDF0-AC13-431D-92B4-1280AE81CB9F}"/>
    <cellStyle name="Normal 8 2 3 4" xfId="955" xr:uid="{00000000-0005-0000-0000-0000D01C0000}"/>
    <cellStyle name="Normal 8 2 3 4 2" xfId="3189" xr:uid="{00000000-0005-0000-0000-0000D11C0000}"/>
    <cellStyle name="Normal 8 2 3 4 2 2" xfId="7412" xr:uid="{00000000-0005-0000-0000-0000D21C0000}"/>
    <cellStyle name="Normal 8 2 3 4 2 2 2" xfId="15854" xr:uid="{23B39770-7A3A-4D43-BB5B-371B69D9E302}"/>
    <cellStyle name="Normal 8 2 3 4 2 3" xfId="11636" xr:uid="{044C8632-8D53-4E6C-AC08-57F49F6DA7CB}"/>
    <cellStyle name="Normal 8 2 3 4 3" xfId="5267" xr:uid="{00000000-0005-0000-0000-0000D31C0000}"/>
    <cellStyle name="Normal 8 2 3 4 3 2" xfId="13709" xr:uid="{D405CEF5-9441-4779-828F-012F180EE68B}"/>
    <cellStyle name="Normal 8 2 3 4 4" xfId="9491" xr:uid="{E8B1FF69-07F6-4C49-A95A-69FC6DCD0C4D}"/>
    <cellStyle name="Normal 8 2 3 5" xfId="1372" xr:uid="{00000000-0005-0000-0000-0000D41C0000}"/>
    <cellStyle name="Normal 8 2 3 5 2" xfId="3602" xr:uid="{00000000-0005-0000-0000-0000D51C0000}"/>
    <cellStyle name="Normal 8 2 3 5 2 2" xfId="7825" xr:uid="{00000000-0005-0000-0000-0000D61C0000}"/>
    <cellStyle name="Normal 8 2 3 5 2 2 2" xfId="16267" xr:uid="{D1D644A6-D6A8-4291-BB77-B05B352D8D6E}"/>
    <cellStyle name="Normal 8 2 3 5 2 3" xfId="12049" xr:uid="{F2EE857B-0C4D-4D1F-8398-903346D962BC}"/>
    <cellStyle name="Normal 8 2 3 5 3" xfId="5680" xr:uid="{00000000-0005-0000-0000-0000D71C0000}"/>
    <cellStyle name="Normal 8 2 3 5 3 2" xfId="14122" xr:uid="{14F4DA5A-5B30-4E09-BFB3-38C2A3B6F42E}"/>
    <cellStyle name="Normal 8 2 3 5 4" xfId="9904" xr:uid="{82265038-EC91-4C67-B33D-6ED3AF52ACC5}"/>
    <cellStyle name="Normal 8 2 3 6" xfId="1785" xr:uid="{00000000-0005-0000-0000-0000D81C0000}"/>
    <cellStyle name="Normal 8 2 3 6 2" xfId="4015" xr:uid="{00000000-0005-0000-0000-0000D91C0000}"/>
    <cellStyle name="Normal 8 2 3 6 2 2" xfId="8238" xr:uid="{00000000-0005-0000-0000-0000DA1C0000}"/>
    <cellStyle name="Normal 8 2 3 6 2 2 2" xfId="16680" xr:uid="{B17F3EFC-7F0F-419E-90A0-D06D87F6C6C9}"/>
    <cellStyle name="Normal 8 2 3 6 2 3" xfId="12462" xr:uid="{28B1B4DC-B374-417B-A1A3-530D161DCEBD}"/>
    <cellStyle name="Normal 8 2 3 6 3" xfId="6093" xr:uid="{00000000-0005-0000-0000-0000DB1C0000}"/>
    <cellStyle name="Normal 8 2 3 6 3 2" xfId="14535" xr:uid="{7A2BB4BB-B16A-4391-808A-540625438693}"/>
    <cellStyle name="Normal 8 2 3 6 4" xfId="10317" xr:uid="{1B3314AE-442E-4914-AEFB-CBD63791C72E}"/>
    <cellStyle name="Normal 8 2 3 7" xfId="2199" xr:uid="{00000000-0005-0000-0000-0000DC1C0000}"/>
    <cellStyle name="Normal 8 2 3 7 2" xfId="4428" xr:uid="{00000000-0005-0000-0000-0000DD1C0000}"/>
    <cellStyle name="Normal 8 2 3 7 2 2" xfId="8651" xr:uid="{00000000-0005-0000-0000-0000DE1C0000}"/>
    <cellStyle name="Normal 8 2 3 7 2 2 2" xfId="17093" xr:uid="{C1362C6B-5AEE-4B5D-98AA-43694485FB51}"/>
    <cellStyle name="Normal 8 2 3 7 2 3" xfId="12875" xr:uid="{9113191A-2892-4818-8B79-982EB7D9F1F4}"/>
    <cellStyle name="Normal 8 2 3 7 3" xfId="6506" xr:uid="{00000000-0005-0000-0000-0000DF1C0000}"/>
    <cellStyle name="Normal 8 2 3 7 3 2" xfId="14948" xr:uid="{D8EA8219-8D7D-4C2D-847E-9C10B1659B73}"/>
    <cellStyle name="Normal 8 2 3 7 4" xfId="10730" xr:uid="{DBFD91FE-18DB-4775-9305-E654E982C976}"/>
    <cellStyle name="Normal 8 2 3 8" xfId="2635" xr:uid="{00000000-0005-0000-0000-0000E01C0000}"/>
    <cellStyle name="Normal 8 2 3 8 2" xfId="6919" xr:uid="{00000000-0005-0000-0000-0000E11C0000}"/>
    <cellStyle name="Normal 8 2 3 8 2 2" xfId="15361" xr:uid="{A512B509-3D17-4112-942D-5990CA76DDA1}"/>
    <cellStyle name="Normal 8 2 3 8 3" xfId="11143" xr:uid="{D1F4A05E-56E8-40E4-9EA6-53D948105FDF}"/>
    <cellStyle name="Normal 8 2 3 9" xfId="4854" xr:uid="{00000000-0005-0000-0000-0000E21C0000}"/>
    <cellStyle name="Normal 8 2 3 9 2" xfId="13296" xr:uid="{8EA9CB59-F49A-443F-A7D9-A9182DCFE5F9}"/>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2 2 2" xfId="15859" xr:uid="{E0B8DA80-CB4F-4646-A5CC-0B0833D8B9E6}"/>
    <cellStyle name="Normal 8 2 4 2 2 2 3" xfId="11641" xr:uid="{D1BDAD3B-FF6A-47A7-ACD4-C855F65E6D44}"/>
    <cellStyle name="Normal 8 2 4 2 2 3" xfId="5272" xr:uid="{00000000-0005-0000-0000-0000E81C0000}"/>
    <cellStyle name="Normal 8 2 4 2 2 3 2" xfId="13714" xr:uid="{F70F9C2F-E18E-4578-B728-B9D393C9CB25}"/>
    <cellStyle name="Normal 8 2 4 2 2 4" xfId="9496" xr:uid="{92D84F02-4476-47AE-8582-78650AD1D7FF}"/>
    <cellStyle name="Normal 8 2 4 2 3" xfId="1377" xr:uid="{00000000-0005-0000-0000-0000E91C0000}"/>
    <cellStyle name="Normal 8 2 4 2 3 2" xfId="3607" xr:uid="{00000000-0005-0000-0000-0000EA1C0000}"/>
    <cellStyle name="Normal 8 2 4 2 3 2 2" xfId="7830" xr:uid="{00000000-0005-0000-0000-0000EB1C0000}"/>
    <cellStyle name="Normal 8 2 4 2 3 2 2 2" xfId="16272" xr:uid="{E3AAC6CF-2EB4-4898-9544-F1D6CF496EE0}"/>
    <cellStyle name="Normal 8 2 4 2 3 2 3" xfId="12054" xr:uid="{ECF0023F-4C9F-4AD6-88C3-7476E2760C19}"/>
    <cellStyle name="Normal 8 2 4 2 3 3" xfId="5685" xr:uid="{00000000-0005-0000-0000-0000EC1C0000}"/>
    <cellStyle name="Normal 8 2 4 2 3 3 2" xfId="14127" xr:uid="{02B8D46D-9EF7-4DC8-95BB-AF9D846DF15E}"/>
    <cellStyle name="Normal 8 2 4 2 3 4" xfId="9909" xr:uid="{C58DB2BF-D48D-4C38-B3FD-F8549F4C742B}"/>
    <cellStyle name="Normal 8 2 4 2 4" xfId="1790" xr:uid="{00000000-0005-0000-0000-0000ED1C0000}"/>
    <cellStyle name="Normal 8 2 4 2 4 2" xfId="4020" xr:uid="{00000000-0005-0000-0000-0000EE1C0000}"/>
    <cellStyle name="Normal 8 2 4 2 4 2 2" xfId="8243" xr:uid="{00000000-0005-0000-0000-0000EF1C0000}"/>
    <cellStyle name="Normal 8 2 4 2 4 2 2 2" xfId="16685" xr:uid="{9EF00EC2-E00D-4947-ACC5-507FEE07E599}"/>
    <cellStyle name="Normal 8 2 4 2 4 2 3" xfId="12467" xr:uid="{BF926837-16A3-4046-A684-D8080BF863F8}"/>
    <cellStyle name="Normal 8 2 4 2 4 3" xfId="6098" xr:uid="{00000000-0005-0000-0000-0000F01C0000}"/>
    <cellStyle name="Normal 8 2 4 2 4 3 2" xfId="14540" xr:uid="{E53F45BB-76DE-444A-8AA3-6B212977A9FC}"/>
    <cellStyle name="Normal 8 2 4 2 4 4" xfId="10322" xr:uid="{F7B3B35F-928A-403A-B5C0-8B45B9F8B1CB}"/>
    <cellStyle name="Normal 8 2 4 2 5" xfId="2204" xr:uid="{00000000-0005-0000-0000-0000F11C0000}"/>
    <cellStyle name="Normal 8 2 4 2 5 2" xfId="4433" xr:uid="{00000000-0005-0000-0000-0000F21C0000}"/>
    <cellStyle name="Normal 8 2 4 2 5 2 2" xfId="8656" xr:uid="{00000000-0005-0000-0000-0000F31C0000}"/>
    <cellStyle name="Normal 8 2 4 2 5 2 2 2" xfId="17098" xr:uid="{15B4612E-28AE-4074-BAD5-164A80EBA6B2}"/>
    <cellStyle name="Normal 8 2 4 2 5 2 3" xfId="12880" xr:uid="{3A49F414-C1CB-499B-9175-019550ACFE35}"/>
    <cellStyle name="Normal 8 2 4 2 5 3" xfId="6511" xr:uid="{00000000-0005-0000-0000-0000F41C0000}"/>
    <cellStyle name="Normal 8 2 4 2 5 3 2" xfId="14953" xr:uid="{0C8B5E15-E1EB-4C35-B019-F38F919A1BFE}"/>
    <cellStyle name="Normal 8 2 4 2 5 4" xfId="10735" xr:uid="{C3133637-FAB4-4064-ACEA-E3FA74E6A732}"/>
    <cellStyle name="Normal 8 2 4 2 6" xfId="2640" xr:uid="{00000000-0005-0000-0000-0000F51C0000}"/>
    <cellStyle name="Normal 8 2 4 2 6 2" xfId="6924" xr:uid="{00000000-0005-0000-0000-0000F61C0000}"/>
    <cellStyle name="Normal 8 2 4 2 6 2 2" xfId="15366" xr:uid="{CCE65DA5-1F12-4D34-A747-6409818EAFAA}"/>
    <cellStyle name="Normal 8 2 4 2 6 3" xfId="11148" xr:uid="{DE3500AE-5A10-497A-AEB8-534BAFDAD98E}"/>
    <cellStyle name="Normal 8 2 4 2 7" xfId="4859" xr:uid="{00000000-0005-0000-0000-0000F71C0000}"/>
    <cellStyle name="Normal 8 2 4 2 7 2" xfId="13301" xr:uid="{7BBFF267-F169-44A1-ADF1-ADD702F43BA9}"/>
    <cellStyle name="Normal 8 2 4 2 8" xfId="9083" xr:uid="{21EF623E-E1D3-438E-A601-7AF78BA02505}"/>
    <cellStyle name="Normal 8 2 4 3" xfId="959" xr:uid="{00000000-0005-0000-0000-0000F81C0000}"/>
    <cellStyle name="Normal 8 2 4 3 2" xfId="3193" xr:uid="{00000000-0005-0000-0000-0000F91C0000}"/>
    <cellStyle name="Normal 8 2 4 3 2 2" xfId="7416" xr:uid="{00000000-0005-0000-0000-0000FA1C0000}"/>
    <cellStyle name="Normal 8 2 4 3 2 2 2" xfId="15858" xr:uid="{D0C7EA28-20E0-4754-B9CD-87F0AA78278B}"/>
    <cellStyle name="Normal 8 2 4 3 2 3" xfId="11640" xr:uid="{DF9CC17D-9561-411A-AE03-D02D565ED5D5}"/>
    <cellStyle name="Normal 8 2 4 3 3" xfId="5271" xr:uid="{00000000-0005-0000-0000-0000FB1C0000}"/>
    <cellStyle name="Normal 8 2 4 3 3 2" xfId="13713" xr:uid="{C8F4AB75-32FA-4E53-837D-8EFCB0206A25}"/>
    <cellStyle name="Normal 8 2 4 3 4" xfId="9495" xr:uid="{3327F809-E7A9-4F6D-9AFC-C475D0C538F9}"/>
    <cellStyle name="Normal 8 2 4 4" xfId="1376" xr:uid="{00000000-0005-0000-0000-0000FC1C0000}"/>
    <cellStyle name="Normal 8 2 4 4 2" xfId="3606" xr:uid="{00000000-0005-0000-0000-0000FD1C0000}"/>
    <cellStyle name="Normal 8 2 4 4 2 2" xfId="7829" xr:uid="{00000000-0005-0000-0000-0000FE1C0000}"/>
    <cellStyle name="Normal 8 2 4 4 2 2 2" xfId="16271" xr:uid="{B3371818-1EE2-455C-A8C7-B761ACCB5144}"/>
    <cellStyle name="Normal 8 2 4 4 2 3" xfId="12053" xr:uid="{74F856D2-9929-4E55-88B5-5379FB0FFDD1}"/>
    <cellStyle name="Normal 8 2 4 4 3" xfId="5684" xr:uid="{00000000-0005-0000-0000-0000FF1C0000}"/>
    <cellStyle name="Normal 8 2 4 4 3 2" xfId="14126" xr:uid="{D8028BAE-48B1-4187-8C8C-55E89511326F}"/>
    <cellStyle name="Normal 8 2 4 4 4" xfId="9908" xr:uid="{F5B88E3D-E22B-46F5-9302-5974E8340419}"/>
    <cellStyle name="Normal 8 2 4 5" xfId="1789" xr:uid="{00000000-0005-0000-0000-0000001D0000}"/>
    <cellStyle name="Normal 8 2 4 5 2" xfId="4019" xr:uid="{00000000-0005-0000-0000-0000011D0000}"/>
    <cellStyle name="Normal 8 2 4 5 2 2" xfId="8242" xr:uid="{00000000-0005-0000-0000-0000021D0000}"/>
    <cellStyle name="Normal 8 2 4 5 2 2 2" xfId="16684" xr:uid="{5A8BF963-2506-4912-BE3E-302F3C9E3804}"/>
    <cellStyle name="Normal 8 2 4 5 2 3" xfId="12466" xr:uid="{E57C3B3E-D0FD-4270-9993-C6EF9258450D}"/>
    <cellStyle name="Normal 8 2 4 5 3" xfId="6097" xr:uid="{00000000-0005-0000-0000-0000031D0000}"/>
    <cellStyle name="Normal 8 2 4 5 3 2" xfId="14539" xr:uid="{D2BF9B05-49B3-42E9-A5E2-2F4B4199144B}"/>
    <cellStyle name="Normal 8 2 4 5 4" xfId="10321" xr:uid="{898E265C-E207-46D5-83B6-7305B9EA4A09}"/>
    <cellStyle name="Normal 8 2 4 6" xfId="2203" xr:uid="{00000000-0005-0000-0000-0000041D0000}"/>
    <cellStyle name="Normal 8 2 4 6 2" xfId="4432" xr:uid="{00000000-0005-0000-0000-0000051D0000}"/>
    <cellStyle name="Normal 8 2 4 6 2 2" xfId="8655" xr:uid="{00000000-0005-0000-0000-0000061D0000}"/>
    <cellStyle name="Normal 8 2 4 6 2 2 2" xfId="17097" xr:uid="{4BE6C6E8-C8CC-449B-AA56-FCCEF59A63DE}"/>
    <cellStyle name="Normal 8 2 4 6 2 3" xfId="12879" xr:uid="{FB9DE49B-2281-429E-99DC-0B8DAC621D51}"/>
    <cellStyle name="Normal 8 2 4 6 3" xfId="6510" xr:uid="{00000000-0005-0000-0000-0000071D0000}"/>
    <cellStyle name="Normal 8 2 4 6 3 2" xfId="14952" xr:uid="{48D3379F-0BB4-4EE5-8395-D5F8039AF8A7}"/>
    <cellStyle name="Normal 8 2 4 6 4" xfId="10734" xr:uid="{1312EADB-9A41-4136-82E3-C0F420DDC38E}"/>
    <cellStyle name="Normal 8 2 4 7" xfId="2639" xr:uid="{00000000-0005-0000-0000-0000081D0000}"/>
    <cellStyle name="Normal 8 2 4 7 2" xfId="6923" xr:uid="{00000000-0005-0000-0000-0000091D0000}"/>
    <cellStyle name="Normal 8 2 4 7 2 2" xfId="15365" xr:uid="{E4976C0F-21C7-487E-BEE1-48F8916448F3}"/>
    <cellStyle name="Normal 8 2 4 7 3" xfId="11147" xr:uid="{2984D1B9-C75D-4D9A-B4BC-EF4CBD4AD9C6}"/>
    <cellStyle name="Normal 8 2 4 8" xfId="4858" xr:uid="{00000000-0005-0000-0000-00000A1D0000}"/>
    <cellStyle name="Normal 8 2 4 8 2" xfId="13300" xr:uid="{B72E8648-5018-4720-9638-C59BD3827522}"/>
    <cellStyle name="Normal 8 2 4 9" xfId="9082" xr:uid="{1B47DB4B-E86B-4B3E-87D4-1AE04170E28E}"/>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2 2 2" xfId="15860" xr:uid="{39EF2A3B-7B93-4FAB-8BBC-301867F7D2D4}"/>
    <cellStyle name="Normal 8 2 5 2 2 3" xfId="11642" xr:uid="{B1970EB6-BF12-4F98-86B3-8D37544570AE}"/>
    <cellStyle name="Normal 8 2 5 2 3" xfId="5273" xr:uid="{00000000-0005-0000-0000-00000F1D0000}"/>
    <cellStyle name="Normal 8 2 5 2 3 2" xfId="13715" xr:uid="{D4916D1E-2D4D-4D81-AC8E-D360B5E751D7}"/>
    <cellStyle name="Normal 8 2 5 2 4" xfId="9497" xr:uid="{3B314D4F-BC35-4CBD-9254-66CB44F39CBC}"/>
    <cellStyle name="Normal 8 2 5 3" xfId="1378" xr:uid="{00000000-0005-0000-0000-0000101D0000}"/>
    <cellStyle name="Normal 8 2 5 3 2" xfId="3608" xr:uid="{00000000-0005-0000-0000-0000111D0000}"/>
    <cellStyle name="Normal 8 2 5 3 2 2" xfId="7831" xr:uid="{00000000-0005-0000-0000-0000121D0000}"/>
    <cellStyle name="Normal 8 2 5 3 2 2 2" xfId="16273" xr:uid="{D3D6E502-101B-4A76-9475-34FA56A9BA77}"/>
    <cellStyle name="Normal 8 2 5 3 2 3" xfId="12055" xr:uid="{7924863A-B06F-4447-A506-EF3A0DBCA72D}"/>
    <cellStyle name="Normal 8 2 5 3 3" xfId="5686" xr:uid="{00000000-0005-0000-0000-0000131D0000}"/>
    <cellStyle name="Normal 8 2 5 3 3 2" xfId="14128" xr:uid="{38921BF1-F5FB-4D69-8368-87CF0372EE2B}"/>
    <cellStyle name="Normal 8 2 5 3 4" xfId="9910" xr:uid="{0740CC98-2745-4E50-B7EF-899271A3A3F2}"/>
    <cellStyle name="Normal 8 2 5 4" xfId="1791" xr:uid="{00000000-0005-0000-0000-0000141D0000}"/>
    <cellStyle name="Normal 8 2 5 4 2" xfId="4021" xr:uid="{00000000-0005-0000-0000-0000151D0000}"/>
    <cellStyle name="Normal 8 2 5 4 2 2" xfId="8244" xr:uid="{00000000-0005-0000-0000-0000161D0000}"/>
    <cellStyle name="Normal 8 2 5 4 2 2 2" xfId="16686" xr:uid="{1E767935-4955-412E-904C-C970DCC278F4}"/>
    <cellStyle name="Normal 8 2 5 4 2 3" xfId="12468" xr:uid="{02DE5FB1-FCC4-4462-9C54-352CC4FE6207}"/>
    <cellStyle name="Normal 8 2 5 4 3" xfId="6099" xr:uid="{00000000-0005-0000-0000-0000171D0000}"/>
    <cellStyle name="Normal 8 2 5 4 3 2" xfId="14541" xr:uid="{BC125D97-791D-4CC7-9F0C-471251ABB38D}"/>
    <cellStyle name="Normal 8 2 5 4 4" xfId="10323" xr:uid="{BE79DA96-E5A2-4C3E-BE03-A503457C1B64}"/>
    <cellStyle name="Normal 8 2 5 5" xfId="2205" xr:uid="{00000000-0005-0000-0000-0000181D0000}"/>
    <cellStyle name="Normal 8 2 5 5 2" xfId="4434" xr:uid="{00000000-0005-0000-0000-0000191D0000}"/>
    <cellStyle name="Normal 8 2 5 5 2 2" xfId="8657" xr:uid="{00000000-0005-0000-0000-00001A1D0000}"/>
    <cellStyle name="Normal 8 2 5 5 2 2 2" xfId="17099" xr:uid="{E7BA73BD-F0CE-40E4-B0C6-10CF665A8ACB}"/>
    <cellStyle name="Normal 8 2 5 5 2 3" xfId="12881" xr:uid="{721EFCC1-7690-45E6-9751-43B7FB435C49}"/>
    <cellStyle name="Normal 8 2 5 5 3" xfId="6512" xr:uid="{00000000-0005-0000-0000-00001B1D0000}"/>
    <cellStyle name="Normal 8 2 5 5 3 2" xfId="14954" xr:uid="{6B551C05-3F15-45EC-94DA-FB222F84C926}"/>
    <cellStyle name="Normal 8 2 5 5 4" xfId="10736" xr:uid="{722EE48B-FA13-49C5-B0C3-42F85B473B97}"/>
    <cellStyle name="Normal 8 2 5 6" xfId="2641" xr:uid="{00000000-0005-0000-0000-00001C1D0000}"/>
    <cellStyle name="Normal 8 2 5 6 2" xfId="6925" xr:uid="{00000000-0005-0000-0000-00001D1D0000}"/>
    <cellStyle name="Normal 8 2 5 6 2 2" xfId="15367" xr:uid="{9EEEFA18-5140-46FF-A756-E70971B04A8A}"/>
    <cellStyle name="Normal 8 2 5 6 3" xfId="11149" xr:uid="{77E61744-7F77-4A67-ACC1-4BF4FE1773A1}"/>
    <cellStyle name="Normal 8 2 5 7" xfId="4860" xr:uid="{00000000-0005-0000-0000-00001E1D0000}"/>
    <cellStyle name="Normal 8 2 5 7 2" xfId="13302" xr:uid="{E8909BBC-9A1E-48EA-933B-24DC60FDF16B}"/>
    <cellStyle name="Normal 8 2 5 8" xfId="9084" xr:uid="{D822D563-3138-441E-8A99-2B0E977EE581}"/>
    <cellStyle name="Normal 8 2 6" xfId="946" xr:uid="{00000000-0005-0000-0000-00001F1D0000}"/>
    <cellStyle name="Normal 8 2 6 2" xfId="3180" xr:uid="{00000000-0005-0000-0000-0000201D0000}"/>
    <cellStyle name="Normal 8 2 6 2 2" xfId="7403" xr:uid="{00000000-0005-0000-0000-0000211D0000}"/>
    <cellStyle name="Normal 8 2 6 2 2 2" xfId="15845" xr:uid="{E5BB9077-DFEC-4B93-93C2-86D07CB5EAB5}"/>
    <cellStyle name="Normal 8 2 6 2 3" xfId="11627" xr:uid="{215B1D3D-BFC8-4ED0-8BD5-0AC46E237BD3}"/>
    <cellStyle name="Normal 8 2 6 3" xfId="5258" xr:uid="{00000000-0005-0000-0000-0000221D0000}"/>
    <cellStyle name="Normal 8 2 6 3 2" xfId="13700" xr:uid="{7ADF06FB-D393-406F-9DCE-273F3A5F82D0}"/>
    <cellStyle name="Normal 8 2 6 4" xfId="9482" xr:uid="{17C21412-06F6-4516-BC4A-8B1321EE2268}"/>
    <cellStyle name="Normal 8 2 7" xfId="1363" xr:uid="{00000000-0005-0000-0000-0000231D0000}"/>
    <cellStyle name="Normal 8 2 7 2" xfId="3593" xr:uid="{00000000-0005-0000-0000-0000241D0000}"/>
    <cellStyle name="Normal 8 2 7 2 2" xfId="7816" xr:uid="{00000000-0005-0000-0000-0000251D0000}"/>
    <cellStyle name="Normal 8 2 7 2 2 2" xfId="16258" xr:uid="{1F1D8F64-F530-4DF6-9533-FF87B9D95160}"/>
    <cellStyle name="Normal 8 2 7 2 3" xfId="12040" xr:uid="{A1D080A6-3639-433A-A907-8EB5E52228FC}"/>
    <cellStyle name="Normal 8 2 7 3" xfId="5671" xr:uid="{00000000-0005-0000-0000-0000261D0000}"/>
    <cellStyle name="Normal 8 2 7 3 2" xfId="14113" xr:uid="{769BF03C-8982-4F3D-8A34-35219D43801E}"/>
    <cellStyle name="Normal 8 2 7 4" xfId="9895" xr:uid="{21579DA0-22EA-4E4D-9F3E-8629D53BEDAF}"/>
    <cellStyle name="Normal 8 2 8" xfId="1776" xr:uid="{00000000-0005-0000-0000-0000271D0000}"/>
    <cellStyle name="Normal 8 2 8 2" xfId="4006" xr:uid="{00000000-0005-0000-0000-0000281D0000}"/>
    <cellStyle name="Normal 8 2 8 2 2" xfId="8229" xr:uid="{00000000-0005-0000-0000-0000291D0000}"/>
    <cellStyle name="Normal 8 2 8 2 2 2" xfId="16671" xr:uid="{A4EBE97E-2603-434A-8800-0C2D426432B1}"/>
    <cellStyle name="Normal 8 2 8 2 3" xfId="12453" xr:uid="{38EAD596-4E25-4DAC-956B-8040A4E9ECF0}"/>
    <cellStyle name="Normal 8 2 8 3" xfId="6084" xr:uid="{00000000-0005-0000-0000-00002A1D0000}"/>
    <cellStyle name="Normal 8 2 8 3 2" xfId="14526" xr:uid="{01C80C56-901D-44A8-A906-B81FCB3807F7}"/>
    <cellStyle name="Normal 8 2 8 4" xfId="10308" xr:uid="{B85EFF19-95DF-4CDD-B2FE-3ECD029CA29B}"/>
    <cellStyle name="Normal 8 2 9" xfId="2190" xr:uid="{00000000-0005-0000-0000-00002B1D0000}"/>
    <cellStyle name="Normal 8 2 9 2" xfId="4419" xr:uid="{00000000-0005-0000-0000-00002C1D0000}"/>
    <cellStyle name="Normal 8 2 9 2 2" xfId="8642" xr:uid="{00000000-0005-0000-0000-00002D1D0000}"/>
    <cellStyle name="Normal 8 2 9 2 2 2" xfId="17084" xr:uid="{9DE96CAE-FD32-40B2-AF8E-C3075340474F}"/>
    <cellStyle name="Normal 8 2 9 2 3" xfId="12866" xr:uid="{F864741C-E0F8-4FB0-9414-A412EFDD5307}"/>
    <cellStyle name="Normal 8 2 9 3" xfId="6497" xr:uid="{00000000-0005-0000-0000-00002E1D0000}"/>
    <cellStyle name="Normal 8 2 9 3 2" xfId="14939" xr:uid="{11D1C4FF-F8FC-42BA-BC7C-9D0598F61DCC}"/>
    <cellStyle name="Normal 8 2 9 4" xfId="10721" xr:uid="{6F713AE5-44DF-4DA6-9A73-856AEDD080F9}"/>
    <cellStyle name="Normal 8 3" xfId="495" xr:uid="{00000000-0005-0000-0000-00002F1D0000}"/>
    <cellStyle name="Normal 8 3 10" xfId="4861" xr:uid="{00000000-0005-0000-0000-0000301D0000}"/>
    <cellStyle name="Normal 8 3 10 2" xfId="13303" xr:uid="{E7F9E304-143A-4C2A-B1CA-6A96651D675B}"/>
    <cellStyle name="Normal 8 3 11" xfId="9085" xr:uid="{EAB568D7-950E-46CF-A5D4-302D67E5EDC9}"/>
    <cellStyle name="Normal 8 3 2" xfId="496" xr:uid="{00000000-0005-0000-0000-0000311D0000}"/>
    <cellStyle name="Normal 8 3 2 10" xfId="9086" xr:uid="{DD522FC8-FCBF-489A-9047-EABA1C1C3A14}"/>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2 2 2" xfId="15864" xr:uid="{00439FB0-18DE-4838-B638-C2306F77749E}"/>
    <cellStyle name="Normal 8 3 2 2 2 2 2 3" xfId="11646" xr:uid="{5117A095-5D8C-4B19-8057-4AD60554A281}"/>
    <cellStyle name="Normal 8 3 2 2 2 2 3" xfId="5277" xr:uid="{00000000-0005-0000-0000-0000371D0000}"/>
    <cellStyle name="Normal 8 3 2 2 2 2 3 2" xfId="13719" xr:uid="{3DFB61B6-C853-4EF1-B5A9-18FF2829CA5B}"/>
    <cellStyle name="Normal 8 3 2 2 2 2 4" xfId="9501" xr:uid="{483106A0-AC16-4EEE-BA08-0E560788734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2 2 2" xfId="16277" xr:uid="{B36794B6-C5C5-4E24-BC83-95E8CD3E2773}"/>
    <cellStyle name="Normal 8 3 2 2 2 3 2 3" xfId="12059" xr:uid="{226C34AB-3BB2-4832-8E3F-A91A81791CE3}"/>
    <cellStyle name="Normal 8 3 2 2 2 3 3" xfId="5690" xr:uid="{00000000-0005-0000-0000-00003B1D0000}"/>
    <cellStyle name="Normal 8 3 2 2 2 3 3 2" xfId="14132" xr:uid="{1B49EA59-5C3C-46A7-8B39-9801608352F2}"/>
    <cellStyle name="Normal 8 3 2 2 2 3 4" xfId="9914" xr:uid="{19FC66AD-B8C7-4AC7-9DFF-BDA955760A5F}"/>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2 2 2" xfId="16690" xr:uid="{CDE4D123-0F43-4BC2-8F72-424A9B9B8AFC}"/>
    <cellStyle name="Normal 8 3 2 2 2 4 2 3" xfId="12472" xr:uid="{039775B3-C0C9-4D82-B369-D6122B7F35BD}"/>
    <cellStyle name="Normal 8 3 2 2 2 4 3" xfId="6103" xr:uid="{00000000-0005-0000-0000-00003F1D0000}"/>
    <cellStyle name="Normal 8 3 2 2 2 4 3 2" xfId="14545" xr:uid="{28FFD5C7-5407-4677-8173-DB9A1E0B3970}"/>
    <cellStyle name="Normal 8 3 2 2 2 4 4" xfId="10327" xr:uid="{D953D116-B86C-4D31-94B0-0F2268A05775}"/>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2 2 2" xfId="17103" xr:uid="{B0594431-0E09-4C18-8B82-6DF8E8094FDE}"/>
    <cellStyle name="Normal 8 3 2 2 2 5 2 3" xfId="12885" xr:uid="{600A7EC3-B668-4D7D-8A2F-DD0E99239158}"/>
    <cellStyle name="Normal 8 3 2 2 2 5 3" xfId="6516" xr:uid="{00000000-0005-0000-0000-0000431D0000}"/>
    <cellStyle name="Normal 8 3 2 2 2 5 3 2" xfId="14958" xr:uid="{E3E5AB7A-EA9E-4276-8540-14CFE3121D1C}"/>
    <cellStyle name="Normal 8 3 2 2 2 5 4" xfId="10740" xr:uid="{035B8D8E-E335-44EE-A872-FDC3C27F68BC}"/>
    <cellStyle name="Normal 8 3 2 2 2 6" xfId="2645" xr:uid="{00000000-0005-0000-0000-0000441D0000}"/>
    <cellStyle name="Normal 8 3 2 2 2 6 2" xfId="6929" xr:uid="{00000000-0005-0000-0000-0000451D0000}"/>
    <cellStyle name="Normal 8 3 2 2 2 6 2 2" xfId="15371" xr:uid="{48C8699C-6895-4A44-937B-3605E6B60BA1}"/>
    <cellStyle name="Normal 8 3 2 2 2 6 3" xfId="11153" xr:uid="{41725F5C-B4E9-4ED6-A33C-0CEC0DB87E28}"/>
    <cellStyle name="Normal 8 3 2 2 2 7" xfId="4864" xr:uid="{00000000-0005-0000-0000-0000461D0000}"/>
    <cellStyle name="Normal 8 3 2 2 2 7 2" xfId="13306" xr:uid="{A1DFB328-46C0-40F4-9CA1-7F9330809797}"/>
    <cellStyle name="Normal 8 3 2 2 2 8" xfId="9088" xr:uid="{8655573B-B126-47C9-8523-7FFFBB7B5212}"/>
    <cellStyle name="Normal 8 3 2 2 3" xfId="964" xr:uid="{00000000-0005-0000-0000-0000471D0000}"/>
    <cellStyle name="Normal 8 3 2 2 3 2" xfId="3198" xr:uid="{00000000-0005-0000-0000-0000481D0000}"/>
    <cellStyle name="Normal 8 3 2 2 3 2 2" xfId="7421" xr:uid="{00000000-0005-0000-0000-0000491D0000}"/>
    <cellStyle name="Normal 8 3 2 2 3 2 2 2" xfId="15863" xr:uid="{0F177FF3-8017-48C7-9C49-1C95BE795B5A}"/>
    <cellStyle name="Normal 8 3 2 2 3 2 3" xfId="11645" xr:uid="{C7E299A2-FECB-48FA-859E-CF43449EEAA1}"/>
    <cellStyle name="Normal 8 3 2 2 3 3" xfId="5276" xr:uid="{00000000-0005-0000-0000-00004A1D0000}"/>
    <cellStyle name="Normal 8 3 2 2 3 3 2" xfId="13718" xr:uid="{142C554D-3213-4169-9558-5217CA9A8C44}"/>
    <cellStyle name="Normal 8 3 2 2 3 4" xfId="9500" xr:uid="{BC1B7E41-BA14-4FB3-9CF4-B3F24730615A}"/>
    <cellStyle name="Normal 8 3 2 2 4" xfId="1381" xr:uid="{00000000-0005-0000-0000-00004B1D0000}"/>
    <cellStyle name="Normal 8 3 2 2 4 2" xfId="3611" xr:uid="{00000000-0005-0000-0000-00004C1D0000}"/>
    <cellStyle name="Normal 8 3 2 2 4 2 2" xfId="7834" xr:uid="{00000000-0005-0000-0000-00004D1D0000}"/>
    <cellStyle name="Normal 8 3 2 2 4 2 2 2" xfId="16276" xr:uid="{DB639DC9-52BE-4CCC-8DDA-F6C9EE725A36}"/>
    <cellStyle name="Normal 8 3 2 2 4 2 3" xfId="12058" xr:uid="{F5FE31E7-EA0D-4727-B3A3-2C9A91BE38C7}"/>
    <cellStyle name="Normal 8 3 2 2 4 3" xfId="5689" xr:uid="{00000000-0005-0000-0000-00004E1D0000}"/>
    <cellStyle name="Normal 8 3 2 2 4 3 2" xfId="14131" xr:uid="{68E8FEEA-7FB8-4AFF-947C-0E88D4A3D495}"/>
    <cellStyle name="Normal 8 3 2 2 4 4" xfId="9913" xr:uid="{2F7F8081-ED7B-4820-9C2B-F70BD3532D01}"/>
    <cellStyle name="Normal 8 3 2 2 5" xfId="1794" xr:uid="{00000000-0005-0000-0000-00004F1D0000}"/>
    <cellStyle name="Normal 8 3 2 2 5 2" xfId="4024" xr:uid="{00000000-0005-0000-0000-0000501D0000}"/>
    <cellStyle name="Normal 8 3 2 2 5 2 2" xfId="8247" xr:uid="{00000000-0005-0000-0000-0000511D0000}"/>
    <cellStyle name="Normal 8 3 2 2 5 2 2 2" xfId="16689" xr:uid="{80ECE533-8ABD-41CE-A018-7555E033416C}"/>
    <cellStyle name="Normal 8 3 2 2 5 2 3" xfId="12471" xr:uid="{A913C0FC-1FCC-49B7-99FB-DDE40C68ECCD}"/>
    <cellStyle name="Normal 8 3 2 2 5 3" xfId="6102" xr:uid="{00000000-0005-0000-0000-0000521D0000}"/>
    <cellStyle name="Normal 8 3 2 2 5 3 2" xfId="14544" xr:uid="{C8DD3CB7-92D6-4A3D-97FD-FA442A53CBA5}"/>
    <cellStyle name="Normal 8 3 2 2 5 4" xfId="10326" xr:uid="{D05A3A8B-B769-4A64-B57E-BD87143D6184}"/>
    <cellStyle name="Normal 8 3 2 2 6" xfId="2208" xr:uid="{00000000-0005-0000-0000-0000531D0000}"/>
    <cellStyle name="Normal 8 3 2 2 6 2" xfId="4437" xr:uid="{00000000-0005-0000-0000-0000541D0000}"/>
    <cellStyle name="Normal 8 3 2 2 6 2 2" xfId="8660" xr:uid="{00000000-0005-0000-0000-0000551D0000}"/>
    <cellStyle name="Normal 8 3 2 2 6 2 2 2" xfId="17102" xr:uid="{7332BCCE-CFE4-4297-AFD0-BD9A01CA9BD5}"/>
    <cellStyle name="Normal 8 3 2 2 6 2 3" xfId="12884" xr:uid="{415AEA11-D1DD-4F31-B721-0C1F6C17C0E5}"/>
    <cellStyle name="Normal 8 3 2 2 6 3" xfId="6515" xr:uid="{00000000-0005-0000-0000-0000561D0000}"/>
    <cellStyle name="Normal 8 3 2 2 6 3 2" xfId="14957" xr:uid="{90F2D2FB-B37D-4624-8E09-AC23C8AE5939}"/>
    <cellStyle name="Normal 8 3 2 2 6 4" xfId="10739" xr:uid="{9A064D5F-E227-4D86-B24C-E3A33CA6B085}"/>
    <cellStyle name="Normal 8 3 2 2 7" xfId="2644" xr:uid="{00000000-0005-0000-0000-0000571D0000}"/>
    <cellStyle name="Normal 8 3 2 2 7 2" xfId="6928" xr:uid="{00000000-0005-0000-0000-0000581D0000}"/>
    <cellStyle name="Normal 8 3 2 2 7 2 2" xfId="15370" xr:uid="{0436BE72-E882-4073-A8A6-A3C17E62B6A7}"/>
    <cellStyle name="Normal 8 3 2 2 7 3" xfId="11152" xr:uid="{B6A64A42-7A2B-44A3-9216-9437ADD79E04}"/>
    <cellStyle name="Normal 8 3 2 2 8" xfId="4863" xr:uid="{00000000-0005-0000-0000-0000591D0000}"/>
    <cellStyle name="Normal 8 3 2 2 8 2" xfId="13305" xr:uid="{FE0F36FA-6CF4-42E7-93F7-231F1241492F}"/>
    <cellStyle name="Normal 8 3 2 2 9" xfId="9087" xr:uid="{16D651B9-1052-4D70-8BBC-E649CA093637}"/>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2 2 2" xfId="15865" xr:uid="{90C8457A-BF6F-4B0F-839D-77981F1A9306}"/>
    <cellStyle name="Normal 8 3 2 3 2 2 3" xfId="11647" xr:uid="{5DB1EEF1-83D7-4506-AA3E-A132BBF4E3B1}"/>
    <cellStyle name="Normal 8 3 2 3 2 3" xfId="5278" xr:uid="{00000000-0005-0000-0000-00005E1D0000}"/>
    <cellStyle name="Normal 8 3 2 3 2 3 2" xfId="13720" xr:uid="{5B101CD6-F6FE-4FA8-BBBC-6FA4C2C5BE1F}"/>
    <cellStyle name="Normal 8 3 2 3 2 4" xfId="9502" xr:uid="{4604C54B-0029-461C-875C-F5C904167B95}"/>
    <cellStyle name="Normal 8 3 2 3 3" xfId="1383" xr:uid="{00000000-0005-0000-0000-00005F1D0000}"/>
    <cellStyle name="Normal 8 3 2 3 3 2" xfId="3613" xr:uid="{00000000-0005-0000-0000-0000601D0000}"/>
    <cellStyle name="Normal 8 3 2 3 3 2 2" xfId="7836" xr:uid="{00000000-0005-0000-0000-0000611D0000}"/>
    <cellStyle name="Normal 8 3 2 3 3 2 2 2" xfId="16278" xr:uid="{9D2BE9DC-58F0-44C4-8C7C-BEB2690B64D4}"/>
    <cellStyle name="Normal 8 3 2 3 3 2 3" xfId="12060" xr:uid="{D6A5E3E6-2820-4E46-94B6-1AAE3715FEE0}"/>
    <cellStyle name="Normal 8 3 2 3 3 3" xfId="5691" xr:uid="{00000000-0005-0000-0000-0000621D0000}"/>
    <cellStyle name="Normal 8 3 2 3 3 3 2" xfId="14133" xr:uid="{554A795D-9492-4AF1-A46C-5B9B3CD8F9C1}"/>
    <cellStyle name="Normal 8 3 2 3 3 4" xfId="9915" xr:uid="{E6199719-4FA0-4BB3-90A9-2B6286F664D6}"/>
    <cellStyle name="Normal 8 3 2 3 4" xfId="1796" xr:uid="{00000000-0005-0000-0000-0000631D0000}"/>
    <cellStyle name="Normal 8 3 2 3 4 2" xfId="4026" xr:uid="{00000000-0005-0000-0000-0000641D0000}"/>
    <cellStyle name="Normal 8 3 2 3 4 2 2" xfId="8249" xr:uid="{00000000-0005-0000-0000-0000651D0000}"/>
    <cellStyle name="Normal 8 3 2 3 4 2 2 2" xfId="16691" xr:uid="{A41ACC03-5DE6-4395-96FA-D945BF4AEDA2}"/>
    <cellStyle name="Normal 8 3 2 3 4 2 3" xfId="12473" xr:uid="{4E2C5E01-EE62-428C-B1F7-F0D08518C99F}"/>
    <cellStyle name="Normal 8 3 2 3 4 3" xfId="6104" xr:uid="{00000000-0005-0000-0000-0000661D0000}"/>
    <cellStyle name="Normal 8 3 2 3 4 3 2" xfId="14546" xr:uid="{6E23BC0C-D3D1-4102-A27E-7068065EC42A}"/>
    <cellStyle name="Normal 8 3 2 3 4 4" xfId="10328" xr:uid="{53224430-64BB-428E-8987-54A56D58FC7D}"/>
    <cellStyle name="Normal 8 3 2 3 5" xfId="2210" xr:uid="{00000000-0005-0000-0000-0000671D0000}"/>
    <cellStyle name="Normal 8 3 2 3 5 2" xfId="4439" xr:uid="{00000000-0005-0000-0000-0000681D0000}"/>
    <cellStyle name="Normal 8 3 2 3 5 2 2" xfId="8662" xr:uid="{00000000-0005-0000-0000-0000691D0000}"/>
    <cellStyle name="Normal 8 3 2 3 5 2 2 2" xfId="17104" xr:uid="{C2DD8709-E5AF-4819-B447-084D51A0AEE9}"/>
    <cellStyle name="Normal 8 3 2 3 5 2 3" xfId="12886" xr:uid="{7AB0A395-B0E5-4580-9D73-DE5AA8F745E8}"/>
    <cellStyle name="Normal 8 3 2 3 5 3" xfId="6517" xr:uid="{00000000-0005-0000-0000-00006A1D0000}"/>
    <cellStyle name="Normal 8 3 2 3 5 3 2" xfId="14959" xr:uid="{4B080E31-D31D-46BC-909B-BADE68D7B5DC}"/>
    <cellStyle name="Normal 8 3 2 3 5 4" xfId="10741" xr:uid="{592B5C10-9F6F-45E4-A68E-02421301950C}"/>
    <cellStyle name="Normal 8 3 2 3 6" xfId="2646" xr:uid="{00000000-0005-0000-0000-00006B1D0000}"/>
    <cellStyle name="Normal 8 3 2 3 6 2" xfId="6930" xr:uid="{00000000-0005-0000-0000-00006C1D0000}"/>
    <cellStyle name="Normal 8 3 2 3 6 2 2" xfId="15372" xr:uid="{F6D4069F-5246-4AB6-8791-AA4998F344F9}"/>
    <cellStyle name="Normal 8 3 2 3 6 3" xfId="11154" xr:uid="{C5029B98-6090-401B-87AE-39DA51C783C3}"/>
    <cellStyle name="Normal 8 3 2 3 7" xfId="4865" xr:uid="{00000000-0005-0000-0000-00006D1D0000}"/>
    <cellStyle name="Normal 8 3 2 3 7 2" xfId="13307" xr:uid="{BD2029CD-EE7C-440C-B278-19E10D452B85}"/>
    <cellStyle name="Normal 8 3 2 3 8" xfId="9089" xr:uid="{F77E1CFD-7871-4A6F-914F-9BBA2CECACB9}"/>
    <cellStyle name="Normal 8 3 2 4" xfId="963" xr:uid="{00000000-0005-0000-0000-00006E1D0000}"/>
    <cellStyle name="Normal 8 3 2 4 2" xfId="3197" xr:uid="{00000000-0005-0000-0000-00006F1D0000}"/>
    <cellStyle name="Normal 8 3 2 4 2 2" xfId="7420" xr:uid="{00000000-0005-0000-0000-0000701D0000}"/>
    <cellStyle name="Normal 8 3 2 4 2 2 2" xfId="15862" xr:uid="{6B9E18DB-4D35-4620-BA58-140DB55CB6AB}"/>
    <cellStyle name="Normal 8 3 2 4 2 3" xfId="11644" xr:uid="{C1CE1A54-F6D5-4A93-B22D-6019D9D001B9}"/>
    <cellStyle name="Normal 8 3 2 4 3" xfId="5275" xr:uid="{00000000-0005-0000-0000-0000711D0000}"/>
    <cellStyle name="Normal 8 3 2 4 3 2" xfId="13717" xr:uid="{C98309A2-5F63-4F70-A44B-540478FB292D}"/>
    <cellStyle name="Normal 8 3 2 4 4" xfId="9499" xr:uid="{CA679B6D-5BCB-467B-9DCC-2FD103A3F045}"/>
    <cellStyle name="Normal 8 3 2 5" xfId="1380" xr:uid="{00000000-0005-0000-0000-0000721D0000}"/>
    <cellStyle name="Normal 8 3 2 5 2" xfId="3610" xr:uid="{00000000-0005-0000-0000-0000731D0000}"/>
    <cellStyle name="Normal 8 3 2 5 2 2" xfId="7833" xr:uid="{00000000-0005-0000-0000-0000741D0000}"/>
    <cellStyle name="Normal 8 3 2 5 2 2 2" xfId="16275" xr:uid="{6B9A8C32-A8A9-45E0-8D75-561DB9197739}"/>
    <cellStyle name="Normal 8 3 2 5 2 3" xfId="12057" xr:uid="{7CD66DA7-E88C-4129-A31B-1437CD3A61C8}"/>
    <cellStyle name="Normal 8 3 2 5 3" xfId="5688" xr:uid="{00000000-0005-0000-0000-0000751D0000}"/>
    <cellStyle name="Normal 8 3 2 5 3 2" xfId="14130" xr:uid="{A124AD59-B7DB-4B3F-9D67-5133F3306DB7}"/>
    <cellStyle name="Normal 8 3 2 5 4" xfId="9912" xr:uid="{9DCDDD2B-0204-484F-87E5-C41359C90107}"/>
    <cellStyle name="Normal 8 3 2 6" xfId="1793" xr:uid="{00000000-0005-0000-0000-0000761D0000}"/>
    <cellStyle name="Normal 8 3 2 6 2" xfId="4023" xr:uid="{00000000-0005-0000-0000-0000771D0000}"/>
    <cellStyle name="Normal 8 3 2 6 2 2" xfId="8246" xr:uid="{00000000-0005-0000-0000-0000781D0000}"/>
    <cellStyle name="Normal 8 3 2 6 2 2 2" xfId="16688" xr:uid="{C11AD2D5-FC2E-468C-BF23-FC3E5C211FA5}"/>
    <cellStyle name="Normal 8 3 2 6 2 3" xfId="12470" xr:uid="{174105F9-D87C-4E26-929C-E1F5F9DE042B}"/>
    <cellStyle name="Normal 8 3 2 6 3" xfId="6101" xr:uid="{00000000-0005-0000-0000-0000791D0000}"/>
    <cellStyle name="Normal 8 3 2 6 3 2" xfId="14543" xr:uid="{8A2D6A08-E49D-4C2B-A27D-E98DAB80219C}"/>
    <cellStyle name="Normal 8 3 2 6 4" xfId="10325" xr:uid="{4B16A81A-79CC-45FC-9AAA-5457CBA1FC17}"/>
    <cellStyle name="Normal 8 3 2 7" xfId="2207" xr:uid="{00000000-0005-0000-0000-00007A1D0000}"/>
    <cellStyle name="Normal 8 3 2 7 2" xfId="4436" xr:uid="{00000000-0005-0000-0000-00007B1D0000}"/>
    <cellStyle name="Normal 8 3 2 7 2 2" xfId="8659" xr:uid="{00000000-0005-0000-0000-00007C1D0000}"/>
    <cellStyle name="Normal 8 3 2 7 2 2 2" xfId="17101" xr:uid="{9C2443D0-E089-4395-96DA-1C0BEA608AB1}"/>
    <cellStyle name="Normal 8 3 2 7 2 3" xfId="12883" xr:uid="{2653224F-EC16-455D-8BB5-5A78186C5E75}"/>
    <cellStyle name="Normal 8 3 2 7 3" xfId="6514" xr:uid="{00000000-0005-0000-0000-00007D1D0000}"/>
    <cellStyle name="Normal 8 3 2 7 3 2" xfId="14956" xr:uid="{57B74D0B-417F-45A4-A2E5-3B02B3F2DBF2}"/>
    <cellStyle name="Normal 8 3 2 7 4" xfId="10738" xr:uid="{DF93BE80-05A7-4827-AD29-03BC19418BCA}"/>
    <cellStyle name="Normal 8 3 2 8" xfId="2643" xr:uid="{00000000-0005-0000-0000-00007E1D0000}"/>
    <cellStyle name="Normal 8 3 2 8 2" xfId="6927" xr:uid="{00000000-0005-0000-0000-00007F1D0000}"/>
    <cellStyle name="Normal 8 3 2 8 2 2" xfId="15369" xr:uid="{0E53C30E-88B0-4EE9-9AEE-E804BEF54C03}"/>
    <cellStyle name="Normal 8 3 2 8 3" xfId="11151" xr:uid="{E980C8C3-22B6-43B3-A0C1-ABC737536C3E}"/>
    <cellStyle name="Normal 8 3 2 9" xfId="4862" xr:uid="{00000000-0005-0000-0000-0000801D0000}"/>
    <cellStyle name="Normal 8 3 2 9 2" xfId="13304" xr:uid="{977074BB-7E77-43D8-836F-665D82C2801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2 2 2" xfId="15867" xr:uid="{F8150437-81D8-46EE-A77D-16B05960645B}"/>
    <cellStyle name="Normal 8 3 3 2 2 2 3" xfId="11649" xr:uid="{A056D08D-2A96-4197-BA30-86F8708E80CD}"/>
    <cellStyle name="Normal 8 3 3 2 2 3" xfId="5280" xr:uid="{00000000-0005-0000-0000-0000861D0000}"/>
    <cellStyle name="Normal 8 3 3 2 2 3 2" xfId="13722" xr:uid="{68B5376A-B2D8-44E1-AC68-567718FEA189}"/>
    <cellStyle name="Normal 8 3 3 2 2 4" xfId="9504" xr:uid="{8C68466D-A3BA-4E06-8335-45ED6EA20A53}"/>
    <cellStyle name="Normal 8 3 3 2 3" xfId="1385" xr:uid="{00000000-0005-0000-0000-0000871D0000}"/>
    <cellStyle name="Normal 8 3 3 2 3 2" xfId="3615" xr:uid="{00000000-0005-0000-0000-0000881D0000}"/>
    <cellStyle name="Normal 8 3 3 2 3 2 2" xfId="7838" xr:uid="{00000000-0005-0000-0000-0000891D0000}"/>
    <cellStyle name="Normal 8 3 3 2 3 2 2 2" xfId="16280" xr:uid="{0AC6C97D-5200-4D4E-910B-257637DB132F}"/>
    <cellStyle name="Normal 8 3 3 2 3 2 3" xfId="12062" xr:uid="{F9D50EE6-70D9-44A1-B2F7-B20C7B1CE29C}"/>
    <cellStyle name="Normal 8 3 3 2 3 3" xfId="5693" xr:uid="{00000000-0005-0000-0000-00008A1D0000}"/>
    <cellStyle name="Normal 8 3 3 2 3 3 2" xfId="14135" xr:uid="{09B3932E-EFDA-4C3F-A3EE-4DE264E1720F}"/>
    <cellStyle name="Normal 8 3 3 2 3 4" xfId="9917" xr:uid="{4E7B74F8-4793-4693-8011-2AE3E8A0F209}"/>
    <cellStyle name="Normal 8 3 3 2 4" xfId="1798" xr:uid="{00000000-0005-0000-0000-00008B1D0000}"/>
    <cellStyle name="Normal 8 3 3 2 4 2" xfId="4028" xr:uid="{00000000-0005-0000-0000-00008C1D0000}"/>
    <cellStyle name="Normal 8 3 3 2 4 2 2" xfId="8251" xr:uid="{00000000-0005-0000-0000-00008D1D0000}"/>
    <cellStyle name="Normal 8 3 3 2 4 2 2 2" xfId="16693" xr:uid="{A968DCDE-851F-4C48-B542-AC8FB3771310}"/>
    <cellStyle name="Normal 8 3 3 2 4 2 3" xfId="12475" xr:uid="{78C348B2-7806-4504-B680-F71C3F01D104}"/>
    <cellStyle name="Normal 8 3 3 2 4 3" xfId="6106" xr:uid="{00000000-0005-0000-0000-00008E1D0000}"/>
    <cellStyle name="Normal 8 3 3 2 4 3 2" xfId="14548" xr:uid="{E17A9713-B4DD-4484-8001-368F34EBE710}"/>
    <cellStyle name="Normal 8 3 3 2 4 4" xfId="10330" xr:uid="{8117F120-08BA-4A37-A297-9D6262CD60A0}"/>
    <cellStyle name="Normal 8 3 3 2 5" xfId="2212" xr:uid="{00000000-0005-0000-0000-00008F1D0000}"/>
    <cellStyle name="Normal 8 3 3 2 5 2" xfId="4441" xr:uid="{00000000-0005-0000-0000-0000901D0000}"/>
    <cellStyle name="Normal 8 3 3 2 5 2 2" xfId="8664" xr:uid="{00000000-0005-0000-0000-0000911D0000}"/>
    <cellStyle name="Normal 8 3 3 2 5 2 2 2" xfId="17106" xr:uid="{8BD8C221-0C32-42E4-9276-A54B748EF03D}"/>
    <cellStyle name="Normal 8 3 3 2 5 2 3" xfId="12888" xr:uid="{8D8B7A5B-38A1-4F63-A5C3-D8067826A852}"/>
    <cellStyle name="Normal 8 3 3 2 5 3" xfId="6519" xr:uid="{00000000-0005-0000-0000-0000921D0000}"/>
    <cellStyle name="Normal 8 3 3 2 5 3 2" xfId="14961" xr:uid="{04CF7E94-A81B-4BAA-99AF-6BC4FC48A198}"/>
    <cellStyle name="Normal 8 3 3 2 5 4" xfId="10743" xr:uid="{69202266-707F-4A01-B6E3-117343240A87}"/>
    <cellStyle name="Normal 8 3 3 2 6" xfId="2648" xr:uid="{00000000-0005-0000-0000-0000931D0000}"/>
    <cellStyle name="Normal 8 3 3 2 6 2" xfId="6932" xr:uid="{00000000-0005-0000-0000-0000941D0000}"/>
    <cellStyle name="Normal 8 3 3 2 6 2 2" xfId="15374" xr:uid="{14F70BA4-E368-4CC0-B4D6-B73297F15770}"/>
    <cellStyle name="Normal 8 3 3 2 6 3" xfId="11156" xr:uid="{F29E3D36-B20D-4D78-8576-CBFAC6AF8ABF}"/>
    <cellStyle name="Normal 8 3 3 2 7" xfId="4867" xr:uid="{00000000-0005-0000-0000-0000951D0000}"/>
    <cellStyle name="Normal 8 3 3 2 7 2" xfId="13309" xr:uid="{4B68C399-9194-45B7-AABE-7ED7FEA362A8}"/>
    <cellStyle name="Normal 8 3 3 2 8" xfId="9091" xr:uid="{1114067B-491F-4D87-841A-072529991DD5}"/>
    <cellStyle name="Normal 8 3 3 3" xfId="967" xr:uid="{00000000-0005-0000-0000-0000961D0000}"/>
    <cellStyle name="Normal 8 3 3 3 2" xfId="3201" xr:uid="{00000000-0005-0000-0000-0000971D0000}"/>
    <cellStyle name="Normal 8 3 3 3 2 2" xfId="7424" xr:uid="{00000000-0005-0000-0000-0000981D0000}"/>
    <cellStyle name="Normal 8 3 3 3 2 2 2" xfId="15866" xr:uid="{26837B77-D3F2-46A4-81A9-1D5F85C8472E}"/>
    <cellStyle name="Normal 8 3 3 3 2 3" xfId="11648" xr:uid="{36995E4E-E228-4EAB-AC86-FF1228E5DF8D}"/>
    <cellStyle name="Normal 8 3 3 3 3" xfId="5279" xr:uid="{00000000-0005-0000-0000-0000991D0000}"/>
    <cellStyle name="Normal 8 3 3 3 3 2" xfId="13721" xr:uid="{B7CCCBD9-1153-441F-A6B7-A951C7E57C2C}"/>
    <cellStyle name="Normal 8 3 3 3 4" xfId="9503" xr:uid="{208D7AAC-7073-43D9-99AD-094B0EC3FD40}"/>
    <cellStyle name="Normal 8 3 3 4" xfId="1384" xr:uid="{00000000-0005-0000-0000-00009A1D0000}"/>
    <cellStyle name="Normal 8 3 3 4 2" xfId="3614" xr:uid="{00000000-0005-0000-0000-00009B1D0000}"/>
    <cellStyle name="Normal 8 3 3 4 2 2" xfId="7837" xr:uid="{00000000-0005-0000-0000-00009C1D0000}"/>
    <cellStyle name="Normal 8 3 3 4 2 2 2" xfId="16279" xr:uid="{2A7D4BD1-C3BA-4CF0-BE30-ABA970B4602F}"/>
    <cellStyle name="Normal 8 3 3 4 2 3" xfId="12061" xr:uid="{2E0B7E94-3444-4335-80F1-0F7FCFB08D23}"/>
    <cellStyle name="Normal 8 3 3 4 3" xfId="5692" xr:uid="{00000000-0005-0000-0000-00009D1D0000}"/>
    <cellStyle name="Normal 8 3 3 4 3 2" xfId="14134" xr:uid="{A6D00ECF-41E0-4D42-B318-2E8007F28B51}"/>
    <cellStyle name="Normal 8 3 3 4 4" xfId="9916" xr:uid="{05C164E4-8DFE-478B-88FF-658414F60AE2}"/>
    <cellStyle name="Normal 8 3 3 5" xfId="1797" xr:uid="{00000000-0005-0000-0000-00009E1D0000}"/>
    <cellStyle name="Normal 8 3 3 5 2" xfId="4027" xr:uid="{00000000-0005-0000-0000-00009F1D0000}"/>
    <cellStyle name="Normal 8 3 3 5 2 2" xfId="8250" xr:uid="{00000000-0005-0000-0000-0000A01D0000}"/>
    <cellStyle name="Normal 8 3 3 5 2 2 2" xfId="16692" xr:uid="{6564C7B9-9E92-4F4D-9E0C-77EC1D873492}"/>
    <cellStyle name="Normal 8 3 3 5 2 3" xfId="12474" xr:uid="{90FA97DF-8866-42AB-BA08-48063B69EDC2}"/>
    <cellStyle name="Normal 8 3 3 5 3" xfId="6105" xr:uid="{00000000-0005-0000-0000-0000A11D0000}"/>
    <cellStyle name="Normal 8 3 3 5 3 2" xfId="14547" xr:uid="{08ED5E41-01E3-4471-B558-C2BA605397B6}"/>
    <cellStyle name="Normal 8 3 3 5 4" xfId="10329" xr:uid="{756ED0F1-E810-427E-8106-194E592F5091}"/>
    <cellStyle name="Normal 8 3 3 6" xfId="2211" xr:uid="{00000000-0005-0000-0000-0000A21D0000}"/>
    <cellStyle name="Normal 8 3 3 6 2" xfId="4440" xr:uid="{00000000-0005-0000-0000-0000A31D0000}"/>
    <cellStyle name="Normal 8 3 3 6 2 2" xfId="8663" xr:uid="{00000000-0005-0000-0000-0000A41D0000}"/>
    <cellStyle name="Normal 8 3 3 6 2 2 2" xfId="17105" xr:uid="{98884E34-4379-41A8-BEA7-5BBB0EC5B298}"/>
    <cellStyle name="Normal 8 3 3 6 2 3" xfId="12887" xr:uid="{A7DB91B9-9C6C-4596-9F6E-FF5FACCF2956}"/>
    <cellStyle name="Normal 8 3 3 6 3" xfId="6518" xr:uid="{00000000-0005-0000-0000-0000A51D0000}"/>
    <cellStyle name="Normal 8 3 3 6 3 2" xfId="14960" xr:uid="{2E8DFA08-2FF8-4BEC-8F8B-D26400585D4C}"/>
    <cellStyle name="Normal 8 3 3 6 4" xfId="10742" xr:uid="{1BBD0B73-9FA2-46CD-841B-FB202F18334B}"/>
    <cellStyle name="Normal 8 3 3 7" xfId="2647" xr:uid="{00000000-0005-0000-0000-0000A61D0000}"/>
    <cellStyle name="Normal 8 3 3 7 2" xfId="6931" xr:uid="{00000000-0005-0000-0000-0000A71D0000}"/>
    <cellStyle name="Normal 8 3 3 7 2 2" xfId="15373" xr:uid="{3D8595BE-19DC-40A4-B672-375794AA9868}"/>
    <cellStyle name="Normal 8 3 3 7 3" xfId="11155" xr:uid="{0999F49D-F06B-4187-86B6-3DD98FFE3CB6}"/>
    <cellStyle name="Normal 8 3 3 8" xfId="4866" xr:uid="{00000000-0005-0000-0000-0000A81D0000}"/>
    <cellStyle name="Normal 8 3 3 8 2" xfId="13308" xr:uid="{D7DED3FB-193C-401B-95D1-E8A74EF8F6A5}"/>
    <cellStyle name="Normal 8 3 3 9" xfId="9090" xr:uid="{942995C0-1C7B-4F76-BAAD-F9504BCB921F}"/>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2 2 2" xfId="15868" xr:uid="{73A4E199-955A-41C5-9203-B0C4B7AF60A4}"/>
    <cellStyle name="Normal 8 3 4 2 2 3" xfId="11650" xr:uid="{78F66490-1846-4109-AF02-593F6AC9DE47}"/>
    <cellStyle name="Normal 8 3 4 2 3" xfId="5281" xr:uid="{00000000-0005-0000-0000-0000AD1D0000}"/>
    <cellStyle name="Normal 8 3 4 2 3 2" xfId="13723" xr:uid="{A604A185-A697-4FA7-B380-02F337063E8C}"/>
    <cellStyle name="Normal 8 3 4 2 4" xfId="9505" xr:uid="{FF67336D-C5B3-46B0-9862-984DCEB0841E}"/>
    <cellStyle name="Normal 8 3 4 3" xfId="1386" xr:uid="{00000000-0005-0000-0000-0000AE1D0000}"/>
    <cellStyle name="Normal 8 3 4 3 2" xfId="3616" xr:uid="{00000000-0005-0000-0000-0000AF1D0000}"/>
    <cellStyle name="Normal 8 3 4 3 2 2" xfId="7839" xr:uid="{00000000-0005-0000-0000-0000B01D0000}"/>
    <cellStyle name="Normal 8 3 4 3 2 2 2" xfId="16281" xr:uid="{60E27186-BD38-4D9F-9A9B-5082F8B4FF10}"/>
    <cellStyle name="Normal 8 3 4 3 2 3" xfId="12063" xr:uid="{52D85BB9-292C-4E0F-B841-837F89970938}"/>
    <cellStyle name="Normal 8 3 4 3 3" xfId="5694" xr:uid="{00000000-0005-0000-0000-0000B11D0000}"/>
    <cellStyle name="Normal 8 3 4 3 3 2" xfId="14136" xr:uid="{D483A658-65BA-4219-81BE-861C42C6866A}"/>
    <cellStyle name="Normal 8 3 4 3 4" xfId="9918" xr:uid="{A5B00B5F-9295-429A-AB33-D4B3F70EE492}"/>
    <cellStyle name="Normal 8 3 4 4" xfId="1799" xr:uid="{00000000-0005-0000-0000-0000B21D0000}"/>
    <cellStyle name="Normal 8 3 4 4 2" xfId="4029" xr:uid="{00000000-0005-0000-0000-0000B31D0000}"/>
    <cellStyle name="Normal 8 3 4 4 2 2" xfId="8252" xr:uid="{00000000-0005-0000-0000-0000B41D0000}"/>
    <cellStyle name="Normal 8 3 4 4 2 2 2" xfId="16694" xr:uid="{A68D3785-4A5B-4A02-981B-933BFDC2CEE5}"/>
    <cellStyle name="Normal 8 3 4 4 2 3" xfId="12476" xr:uid="{830BDA46-D05F-4994-8141-80CBDF2186E6}"/>
    <cellStyle name="Normal 8 3 4 4 3" xfId="6107" xr:uid="{00000000-0005-0000-0000-0000B51D0000}"/>
    <cellStyle name="Normal 8 3 4 4 3 2" xfId="14549" xr:uid="{2566AB53-B99F-494B-838A-17375E35EF72}"/>
    <cellStyle name="Normal 8 3 4 4 4" xfId="10331" xr:uid="{C46345BE-8BAB-4510-AE48-A0D3DBA71BDC}"/>
    <cellStyle name="Normal 8 3 4 5" xfId="2213" xr:uid="{00000000-0005-0000-0000-0000B61D0000}"/>
    <cellStyle name="Normal 8 3 4 5 2" xfId="4442" xr:uid="{00000000-0005-0000-0000-0000B71D0000}"/>
    <cellStyle name="Normal 8 3 4 5 2 2" xfId="8665" xr:uid="{00000000-0005-0000-0000-0000B81D0000}"/>
    <cellStyle name="Normal 8 3 4 5 2 2 2" xfId="17107" xr:uid="{AA69225D-19C6-4E8C-B94D-856525C9897E}"/>
    <cellStyle name="Normal 8 3 4 5 2 3" xfId="12889" xr:uid="{A84375B3-42EE-40A4-B6A0-E26986A58E38}"/>
    <cellStyle name="Normal 8 3 4 5 3" xfId="6520" xr:uid="{00000000-0005-0000-0000-0000B91D0000}"/>
    <cellStyle name="Normal 8 3 4 5 3 2" xfId="14962" xr:uid="{7AD751CE-11B7-41DE-802B-67B53775A627}"/>
    <cellStyle name="Normal 8 3 4 5 4" xfId="10744" xr:uid="{347E0759-BA27-4F75-9C27-E03DAFD2B8F3}"/>
    <cellStyle name="Normal 8 3 4 6" xfId="2649" xr:uid="{00000000-0005-0000-0000-0000BA1D0000}"/>
    <cellStyle name="Normal 8 3 4 6 2" xfId="6933" xr:uid="{00000000-0005-0000-0000-0000BB1D0000}"/>
    <cellStyle name="Normal 8 3 4 6 2 2" xfId="15375" xr:uid="{42935C0B-0183-41E3-B3B8-19FEAC713F6D}"/>
    <cellStyle name="Normal 8 3 4 6 3" xfId="11157" xr:uid="{46A1E469-B3B5-49CF-8B78-6A0FBBF4BF19}"/>
    <cellStyle name="Normal 8 3 4 7" xfId="4868" xr:uid="{00000000-0005-0000-0000-0000BC1D0000}"/>
    <cellStyle name="Normal 8 3 4 7 2" xfId="13310" xr:uid="{57836BFF-8738-4F5C-9874-C2F188076D54}"/>
    <cellStyle name="Normal 8 3 4 8" xfId="9092" xr:uid="{8251E4F5-DC1C-4572-BF2A-4018C48444C7}"/>
    <cellStyle name="Normal 8 3 5" xfId="962" xr:uid="{00000000-0005-0000-0000-0000BD1D0000}"/>
    <cellStyle name="Normal 8 3 5 2" xfId="3196" xr:uid="{00000000-0005-0000-0000-0000BE1D0000}"/>
    <cellStyle name="Normal 8 3 5 2 2" xfId="7419" xr:uid="{00000000-0005-0000-0000-0000BF1D0000}"/>
    <cellStyle name="Normal 8 3 5 2 2 2" xfId="15861" xr:uid="{6E899D60-D8A3-468F-B74B-D663E0FB9EDE}"/>
    <cellStyle name="Normal 8 3 5 2 3" xfId="11643" xr:uid="{27E420B6-B62A-4112-ACA3-C73FFB96706A}"/>
    <cellStyle name="Normal 8 3 5 3" xfId="5274" xr:uid="{00000000-0005-0000-0000-0000C01D0000}"/>
    <cellStyle name="Normal 8 3 5 3 2" xfId="13716" xr:uid="{F1BEF449-C231-40C6-81E0-04CFF4D2834C}"/>
    <cellStyle name="Normal 8 3 5 4" xfId="9498" xr:uid="{6B9D4343-B24F-45D5-A24C-4A1C53ECBA15}"/>
    <cellStyle name="Normal 8 3 6" xfId="1379" xr:uid="{00000000-0005-0000-0000-0000C11D0000}"/>
    <cellStyle name="Normal 8 3 6 2" xfId="3609" xr:uid="{00000000-0005-0000-0000-0000C21D0000}"/>
    <cellStyle name="Normal 8 3 6 2 2" xfId="7832" xr:uid="{00000000-0005-0000-0000-0000C31D0000}"/>
    <cellStyle name="Normal 8 3 6 2 2 2" xfId="16274" xr:uid="{D310DB6F-2460-4F35-85DF-51D17ED91F87}"/>
    <cellStyle name="Normal 8 3 6 2 3" xfId="12056" xr:uid="{06892317-5054-48D9-B0C1-404FFFFCC9F2}"/>
    <cellStyle name="Normal 8 3 6 3" xfId="5687" xr:uid="{00000000-0005-0000-0000-0000C41D0000}"/>
    <cellStyle name="Normal 8 3 6 3 2" xfId="14129" xr:uid="{616E4788-90D0-4090-AC85-B61CDEDC5E92}"/>
    <cellStyle name="Normal 8 3 6 4" xfId="9911" xr:uid="{A1F9A9EA-8EFD-4C30-BE70-6207D158D963}"/>
    <cellStyle name="Normal 8 3 7" xfId="1792" xr:uid="{00000000-0005-0000-0000-0000C51D0000}"/>
    <cellStyle name="Normal 8 3 7 2" xfId="4022" xr:uid="{00000000-0005-0000-0000-0000C61D0000}"/>
    <cellStyle name="Normal 8 3 7 2 2" xfId="8245" xr:uid="{00000000-0005-0000-0000-0000C71D0000}"/>
    <cellStyle name="Normal 8 3 7 2 2 2" xfId="16687" xr:uid="{44903926-88A2-4808-8C00-0E0DB525F317}"/>
    <cellStyle name="Normal 8 3 7 2 3" xfId="12469" xr:uid="{61C1DD39-EABF-40F0-B8F7-3E2D2EDB9FBD}"/>
    <cellStyle name="Normal 8 3 7 3" xfId="6100" xr:uid="{00000000-0005-0000-0000-0000C81D0000}"/>
    <cellStyle name="Normal 8 3 7 3 2" xfId="14542" xr:uid="{02FEF343-FF13-4BE3-A25E-8FAD09B8B239}"/>
    <cellStyle name="Normal 8 3 7 4" xfId="10324" xr:uid="{5CF54AC0-D777-4386-ADE7-42C66FCCA0A1}"/>
    <cellStyle name="Normal 8 3 8" xfId="2206" xr:uid="{00000000-0005-0000-0000-0000C91D0000}"/>
    <cellStyle name="Normal 8 3 8 2" xfId="4435" xr:uid="{00000000-0005-0000-0000-0000CA1D0000}"/>
    <cellStyle name="Normal 8 3 8 2 2" xfId="8658" xr:uid="{00000000-0005-0000-0000-0000CB1D0000}"/>
    <cellStyle name="Normal 8 3 8 2 2 2" xfId="17100" xr:uid="{C6055952-E7CF-438B-A154-D2B2C73A4256}"/>
    <cellStyle name="Normal 8 3 8 2 3" xfId="12882" xr:uid="{93DBF778-594C-41FE-83C8-A7D719BECAE0}"/>
    <cellStyle name="Normal 8 3 8 3" xfId="6513" xr:uid="{00000000-0005-0000-0000-0000CC1D0000}"/>
    <cellStyle name="Normal 8 3 8 3 2" xfId="14955" xr:uid="{60C6C868-936C-43AB-A9DF-6240AAFA86BE}"/>
    <cellStyle name="Normal 8 3 8 4" xfId="10737" xr:uid="{73FD9293-D4F8-478D-A60B-E380D87EC1AE}"/>
    <cellStyle name="Normal 8 3 9" xfId="2642" xr:uid="{00000000-0005-0000-0000-0000CD1D0000}"/>
    <cellStyle name="Normal 8 3 9 2" xfId="6926" xr:uid="{00000000-0005-0000-0000-0000CE1D0000}"/>
    <cellStyle name="Normal 8 3 9 2 2" xfId="15368" xr:uid="{7440F4D9-07E3-46D7-BACD-00905655E104}"/>
    <cellStyle name="Normal 8 3 9 3" xfId="11150" xr:uid="{0AE44EB1-4F72-4EEB-8C9A-1CFF88D6387D}"/>
    <cellStyle name="Normal 8 4" xfId="503" xr:uid="{00000000-0005-0000-0000-0000CF1D0000}"/>
    <cellStyle name="Normal 8 4 10" xfId="9093" xr:uid="{AABF5A59-41A7-419F-B8F1-5F65946152F6}"/>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2 2 2" xfId="15871" xr:uid="{AD7A1EC2-0A5D-402E-9291-941712D77F4B}"/>
    <cellStyle name="Normal 8 4 2 2 2 2 3" xfId="11653" xr:uid="{DCDB6655-A606-4B24-8E98-11DB16F84340}"/>
    <cellStyle name="Normal 8 4 2 2 2 3" xfId="5284" xr:uid="{00000000-0005-0000-0000-0000D51D0000}"/>
    <cellStyle name="Normal 8 4 2 2 2 3 2" xfId="13726" xr:uid="{EFA5C88C-7D8D-4386-BBDB-3E77A98C4CE7}"/>
    <cellStyle name="Normal 8 4 2 2 2 4" xfId="9508" xr:uid="{A1C22AF0-3DA1-4144-B25C-FA7D81E6A6AC}"/>
    <cellStyle name="Normal 8 4 2 2 3" xfId="1389" xr:uid="{00000000-0005-0000-0000-0000D61D0000}"/>
    <cellStyle name="Normal 8 4 2 2 3 2" xfId="3619" xr:uid="{00000000-0005-0000-0000-0000D71D0000}"/>
    <cellStyle name="Normal 8 4 2 2 3 2 2" xfId="7842" xr:uid="{00000000-0005-0000-0000-0000D81D0000}"/>
    <cellStyle name="Normal 8 4 2 2 3 2 2 2" xfId="16284" xr:uid="{5C207983-FAB3-4C6D-BFD9-0658D0059359}"/>
    <cellStyle name="Normal 8 4 2 2 3 2 3" xfId="12066" xr:uid="{BC158332-0D2F-41CF-AB38-60378C3360A7}"/>
    <cellStyle name="Normal 8 4 2 2 3 3" xfId="5697" xr:uid="{00000000-0005-0000-0000-0000D91D0000}"/>
    <cellStyle name="Normal 8 4 2 2 3 3 2" xfId="14139" xr:uid="{7620B589-5BBD-4752-BE13-D31359074B0F}"/>
    <cellStyle name="Normal 8 4 2 2 3 4" xfId="9921" xr:uid="{50692384-4945-4641-977B-26217ED31BDC}"/>
    <cellStyle name="Normal 8 4 2 2 4" xfId="1802" xr:uid="{00000000-0005-0000-0000-0000DA1D0000}"/>
    <cellStyle name="Normal 8 4 2 2 4 2" xfId="4032" xr:uid="{00000000-0005-0000-0000-0000DB1D0000}"/>
    <cellStyle name="Normal 8 4 2 2 4 2 2" xfId="8255" xr:uid="{00000000-0005-0000-0000-0000DC1D0000}"/>
    <cellStyle name="Normal 8 4 2 2 4 2 2 2" xfId="16697" xr:uid="{220542C9-E2B1-47E2-B8E9-7B0EF84157DC}"/>
    <cellStyle name="Normal 8 4 2 2 4 2 3" xfId="12479" xr:uid="{2D047E92-E5DB-4E3A-BAC9-F136E1EB43F6}"/>
    <cellStyle name="Normal 8 4 2 2 4 3" xfId="6110" xr:uid="{00000000-0005-0000-0000-0000DD1D0000}"/>
    <cellStyle name="Normal 8 4 2 2 4 3 2" xfId="14552" xr:uid="{A6BDEB95-A5DE-4B68-A649-33B4C4F1C923}"/>
    <cellStyle name="Normal 8 4 2 2 4 4" xfId="10334" xr:uid="{405ADF5B-95A3-4F3C-A990-447950B9E520}"/>
    <cellStyle name="Normal 8 4 2 2 5" xfId="2216" xr:uid="{00000000-0005-0000-0000-0000DE1D0000}"/>
    <cellStyle name="Normal 8 4 2 2 5 2" xfId="4445" xr:uid="{00000000-0005-0000-0000-0000DF1D0000}"/>
    <cellStyle name="Normal 8 4 2 2 5 2 2" xfId="8668" xr:uid="{00000000-0005-0000-0000-0000E01D0000}"/>
    <cellStyle name="Normal 8 4 2 2 5 2 2 2" xfId="17110" xr:uid="{DBF5A065-9AA4-4DA0-BC24-A2164D059BF2}"/>
    <cellStyle name="Normal 8 4 2 2 5 2 3" xfId="12892" xr:uid="{8A5CF7DB-9072-400A-877E-40C7EE9BEBA0}"/>
    <cellStyle name="Normal 8 4 2 2 5 3" xfId="6523" xr:uid="{00000000-0005-0000-0000-0000E11D0000}"/>
    <cellStyle name="Normal 8 4 2 2 5 3 2" xfId="14965" xr:uid="{F86880A9-AAF5-4678-8DDA-6C822328EFFA}"/>
    <cellStyle name="Normal 8 4 2 2 5 4" xfId="10747" xr:uid="{518B0174-EE0A-41C8-9D3A-50C3AE8EFE12}"/>
    <cellStyle name="Normal 8 4 2 2 6" xfId="2652" xr:uid="{00000000-0005-0000-0000-0000E21D0000}"/>
    <cellStyle name="Normal 8 4 2 2 6 2" xfId="6936" xr:uid="{00000000-0005-0000-0000-0000E31D0000}"/>
    <cellStyle name="Normal 8 4 2 2 6 2 2" xfId="15378" xr:uid="{BB9A6B75-5348-48F5-BFD3-30964D451C13}"/>
    <cellStyle name="Normal 8 4 2 2 6 3" xfId="11160" xr:uid="{41840A68-E9F3-49F3-8465-305D2F771037}"/>
    <cellStyle name="Normal 8 4 2 2 7" xfId="4871" xr:uid="{00000000-0005-0000-0000-0000E41D0000}"/>
    <cellStyle name="Normal 8 4 2 2 7 2" xfId="13313" xr:uid="{C77FD31D-A0BA-4D02-A608-91A65286365C}"/>
    <cellStyle name="Normal 8 4 2 2 8" xfId="9095" xr:uid="{8CDA8B99-F2EA-4AA4-9484-2511F176A247}"/>
    <cellStyle name="Normal 8 4 2 3" xfId="971" xr:uid="{00000000-0005-0000-0000-0000E51D0000}"/>
    <cellStyle name="Normal 8 4 2 3 2" xfId="3205" xr:uid="{00000000-0005-0000-0000-0000E61D0000}"/>
    <cellStyle name="Normal 8 4 2 3 2 2" xfId="7428" xr:uid="{00000000-0005-0000-0000-0000E71D0000}"/>
    <cellStyle name="Normal 8 4 2 3 2 2 2" xfId="15870" xr:uid="{A0CDC1F3-0721-4BEC-8F40-C05E2142AC67}"/>
    <cellStyle name="Normal 8 4 2 3 2 3" xfId="11652" xr:uid="{67723433-F633-4BB4-9FE5-C88AB0659B03}"/>
    <cellStyle name="Normal 8 4 2 3 3" xfId="5283" xr:uid="{00000000-0005-0000-0000-0000E81D0000}"/>
    <cellStyle name="Normal 8 4 2 3 3 2" xfId="13725" xr:uid="{DB695696-5E58-4C4D-9A34-A5E0C40EC7CC}"/>
    <cellStyle name="Normal 8 4 2 3 4" xfId="9507" xr:uid="{68522B78-DEC3-4555-9A69-954EB27CFCC2}"/>
    <cellStyle name="Normal 8 4 2 4" xfId="1388" xr:uid="{00000000-0005-0000-0000-0000E91D0000}"/>
    <cellStyle name="Normal 8 4 2 4 2" xfId="3618" xr:uid="{00000000-0005-0000-0000-0000EA1D0000}"/>
    <cellStyle name="Normal 8 4 2 4 2 2" xfId="7841" xr:uid="{00000000-0005-0000-0000-0000EB1D0000}"/>
    <cellStyle name="Normal 8 4 2 4 2 2 2" xfId="16283" xr:uid="{D68887B9-5E3B-468B-B84E-07A2E3525DBB}"/>
    <cellStyle name="Normal 8 4 2 4 2 3" xfId="12065" xr:uid="{BFDDD987-37B9-4875-BA72-9B719C954EC2}"/>
    <cellStyle name="Normal 8 4 2 4 3" xfId="5696" xr:uid="{00000000-0005-0000-0000-0000EC1D0000}"/>
    <cellStyle name="Normal 8 4 2 4 3 2" xfId="14138" xr:uid="{7EAA74A6-B08D-4BE1-84CA-8EBC368E183A}"/>
    <cellStyle name="Normal 8 4 2 4 4" xfId="9920" xr:uid="{AD2E74C8-1E2A-4D8A-9965-9242F0D9846F}"/>
    <cellStyle name="Normal 8 4 2 5" xfId="1801" xr:uid="{00000000-0005-0000-0000-0000ED1D0000}"/>
    <cellStyle name="Normal 8 4 2 5 2" xfId="4031" xr:uid="{00000000-0005-0000-0000-0000EE1D0000}"/>
    <cellStyle name="Normal 8 4 2 5 2 2" xfId="8254" xr:uid="{00000000-0005-0000-0000-0000EF1D0000}"/>
    <cellStyle name="Normal 8 4 2 5 2 2 2" xfId="16696" xr:uid="{A6854D9D-F5E4-4994-B2A8-F5061F2EC7D1}"/>
    <cellStyle name="Normal 8 4 2 5 2 3" xfId="12478" xr:uid="{AF0FB9C9-6A67-4F68-BCB9-ACDCA2995B93}"/>
    <cellStyle name="Normal 8 4 2 5 3" xfId="6109" xr:uid="{00000000-0005-0000-0000-0000F01D0000}"/>
    <cellStyle name="Normal 8 4 2 5 3 2" xfId="14551" xr:uid="{3A3EC781-2446-4D0B-AEFE-B111F82059C5}"/>
    <cellStyle name="Normal 8 4 2 5 4" xfId="10333" xr:uid="{87CD791C-45E5-4F8A-9663-10B3A7602792}"/>
    <cellStyle name="Normal 8 4 2 6" xfId="2215" xr:uid="{00000000-0005-0000-0000-0000F11D0000}"/>
    <cellStyle name="Normal 8 4 2 6 2" xfId="4444" xr:uid="{00000000-0005-0000-0000-0000F21D0000}"/>
    <cellStyle name="Normal 8 4 2 6 2 2" xfId="8667" xr:uid="{00000000-0005-0000-0000-0000F31D0000}"/>
    <cellStyle name="Normal 8 4 2 6 2 2 2" xfId="17109" xr:uid="{38F1AB9C-CE57-429E-B14F-28291F79502F}"/>
    <cellStyle name="Normal 8 4 2 6 2 3" xfId="12891" xr:uid="{E4E500F0-50C4-4345-A798-1B9AD5B406E5}"/>
    <cellStyle name="Normal 8 4 2 6 3" xfId="6522" xr:uid="{00000000-0005-0000-0000-0000F41D0000}"/>
    <cellStyle name="Normal 8 4 2 6 3 2" xfId="14964" xr:uid="{8E64DF19-F137-4906-B517-8A5D5DD92435}"/>
    <cellStyle name="Normal 8 4 2 6 4" xfId="10746" xr:uid="{ED89AA0F-1DAD-469C-9B5D-49B232F0D13D}"/>
    <cellStyle name="Normal 8 4 2 7" xfId="2651" xr:uid="{00000000-0005-0000-0000-0000F51D0000}"/>
    <cellStyle name="Normal 8 4 2 7 2" xfId="6935" xr:uid="{00000000-0005-0000-0000-0000F61D0000}"/>
    <cellStyle name="Normal 8 4 2 7 2 2" xfId="15377" xr:uid="{3AB02E2B-44DC-42A9-9B25-4E6A8B290483}"/>
    <cellStyle name="Normal 8 4 2 7 3" xfId="11159" xr:uid="{9CED1AC7-005F-4803-A55E-EA4B347F9E8F}"/>
    <cellStyle name="Normal 8 4 2 8" xfId="4870" xr:uid="{00000000-0005-0000-0000-0000F71D0000}"/>
    <cellStyle name="Normal 8 4 2 8 2" xfId="13312" xr:uid="{E2494D46-FA18-4B02-8E69-843CFD4890CE}"/>
    <cellStyle name="Normal 8 4 2 9" xfId="9094" xr:uid="{3284E7C3-3993-40B8-A19D-05C34F46F459}"/>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2 2 2" xfId="15872" xr:uid="{6357E808-F599-4285-988F-29E556804C2B}"/>
    <cellStyle name="Normal 8 4 3 2 2 3" xfId="11654" xr:uid="{7033473C-AD9F-4245-82EE-04B2B7AB79BB}"/>
    <cellStyle name="Normal 8 4 3 2 3" xfId="5285" xr:uid="{00000000-0005-0000-0000-0000FC1D0000}"/>
    <cellStyle name="Normal 8 4 3 2 3 2" xfId="13727" xr:uid="{FF205A63-646D-4A11-B513-D440FD0D567E}"/>
    <cellStyle name="Normal 8 4 3 2 4" xfId="9509" xr:uid="{D45B9212-19DA-4539-BA49-AF9314717D8C}"/>
    <cellStyle name="Normal 8 4 3 3" xfId="1390" xr:uid="{00000000-0005-0000-0000-0000FD1D0000}"/>
    <cellStyle name="Normal 8 4 3 3 2" xfId="3620" xr:uid="{00000000-0005-0000-0000-0000FE1D0000}"/>
    <cellStyle name="Normal 8 4 3 3 2 2" xfId="7843" xr:uid="{00000000-0005-0000-0000-0000FF1D0000}"/>
    <cellStyle name="Normal 8 4 3 3 2 2 2" xfId="16285" xr:uid="{D3D7975F-35EC-46AE-9B38-EDE537E1AD62}"/>
    <cellStyle name="Normal 8 4 3 3 2 3" xfId="12067" xr:uid="{4A5FEAD8-0130-4A19-A7D9-710AC6BE5058}"/>
    <cellStyle name="Normal 8 4 3 3 3" xfId="5698" xr:uid="{00000000-0005-0000-0000-0000001E0000}"/>
    <cellStyle name="Normal 8 4 3 3 3 2" xfId="14140" xr:uid="{161E01B8-FCCA-4B20-BC23-EAC261B577BC}"/>
    <cellStyle name="Normal 8 4 3 3 4" xfId="9922" xr:uid="{7C3A59AE-819B-46C9-8798-20F1FC1EB4A3}"/>
    <cellStyle name="Normal 8 4 3 4" xfId="1803" xr:uid="{00000000-0005-0000-0000-0000011E0000}"/>
    <cellStyle name="Normal 8 4 3 4 2" xfId="4033" xr:uid="{00000000-0005-0000-0000-0000021E0000}"/>
    <cellStyle name="Normal 8 4 3 4 2 2" xfId="8256" xr:uid="{00000000-0005-0000-0000-0000031E0000}"/>
    <cellStyle name="Normal 8 4 3 4 2 2 2" xfId="16698" xr:uid="{C52938B1-9AD7-465E-A6CB-C7B7C5DDA223}"/>
    <cellStyle name="Normal 8 4 3 4 2 3" xfId="12480" xr:uid="{CD6E63CD-E9D7-4D3B-96FB-1455EDE55389}"/>
    <cellStyle name="Normal 8 4 3 4 3" xfId="6111" xr:uid="{00000000-0005-0000-0000-0000041E0000}"/>
    <cellStyle name="Normal 8 4 3 4 3 2" xfId="14553" xr:uid="{DCD99ACA-127E-4639-974E-CC651669CB7F}"/>
    <cellStyle name="Normal 8 4 3 4 4" xfId="10335" xr:uid="{5E46716C-A794-4E0D-A4EB-C66177D59F9F}"/>
    <cellStyle name="Normal 8 4 3 5" xfId="2217" xr:uid="{00000000-0005-0000-0000-0000051E0000}"/>
    <cellStyle name="Normal 8 4 3 5 2" xfId="4446" xr:uid="{00000000-0005-0000-0000-0000061E0000}"/>
    <cellStyle name="Normal 8 4 3 5 2 2" xfId="8669" xr:uid="{00000000-0005-0000-0000-0000071E0000}"/>
    <cellStyle name="Normal 8 4 3 5 2 2 2" xfId="17111" xr:uid="{0B5DE022-D1B9-47F6-9EAC-0136C12CF35D}"/>
    <cellStyle name="Normal 8 4 3 5 2 3" xfId="12893" xr:uid="{973318D1-397F-4034-8000-447A2B77B15A}"/>
    <cellStyle name="Normal 8 4 3 5 3" xfId="6524" xr:uid="{00000000-0005-0000-0000-0000081E0000}"/>
    <cellStyle name="Normal 8 4 3 5 3 2" xfId="14966" xr:uid="{BA3B9832-4FCF-4A29-A861-8678538D2582}"/>
    <cellStyle name="Normal 8 4 3 5 4" xfId="10748" xr:uid="{F8B89B10-1E2D-447D-A9BB-8FC29133F2B2}"/>
    <cellStyle name="Normal 8 4 3 6" xfId="2653" xr:uid="{00000000-0005-0000-0000-0000091E0000}"/>
    <cellStyle name="Normal 8 4 3 6 2" xfId="6937" xr:uid="{00000000-0005-0000-0000-00000A1E0000}"/>
    <cellStyle name="Normal 8 4 3 6 2 2" xfId="15379" xr:uid="{10BA6533-FA03-492B-9691-33DEC66840EF}"/>
    <cellStyle name="Normal 8 4 3 6 3" xfId="11161" xr:uid="{C526E630-F19A-4DA8-9ABD-D989BE16912C}"/>
    <cellStyle name="Normal 8 4 3 7" xfId="4872" xr:uid="{00000000-0005-0000-0000-00000B1E0000}"/>
    <cellStyle name="Normal 8 4 3 7 2" xfId="13314" xr:uid="{DD4B2E88-3463-48A2-97B1-686E82F50DF0}"/>
    <cellStyle name="Normal 8 4 3 8" xfId="9096" xr:uid="{AA6C4059-8047-4652-AEC7-D9E72E7CAF0D}"/>
    <cellStyle name="Normal 8 4 4" xfId="970" xr:uid="{00000000-0005-0000-0000-00000C1E0000}"/>
    <cellStyle name="Normal 8 4 4 2" xfId="3204" xr:uid="{00000000-0005-0000-0000-00000D1E0000}"/>
    <cellStyle name="Normal 8 4 4 2 2" xfId="7427" xr:uid="{00000000-0005-0000-0000-00000E1E0000}"/>
    <cellStyle name="Normal 8 4 4 2 2 2" xfId="15869" xr:uid="{5533A2DD-3FFD-49B7-8504-488A20949751}"/>
    <cellStyle name="Normal 8 4 4 2 3" xfId="11651" xr:uid="{4249050B-92A6-46C7-BC01-CBBA146D8A29}"/>
    <cellStyle name="Normal 8 4 4 3" xfId="5282" xr:uid="{00000000-0005-0000-0000-00000F1E0000}"/>
    <cellStyle name="Normal 8 4 4 3 2" xfId="13724" xr:uid="{8391D090-5655-4C02-B589-A6CF2603A5C6}"/>
    <cellStyle name="Normal 8 4 4 4" xfId="9506" xr:uid="{12A273EB-3B82-47F8-B2AB-692EF4A25A2D}"/>
    <cellStyle name="Normal 8 4 5" xfId="1387" xr:uid="{00000000-0005-0000-0000-0000101E0000}"/>
    <cellStyle name="Normal 8 4 5 2" xfId="3617" xr:uid="{00000000-0005-0000-0000-0000111E0000}"/>
    <cellStyle name="Normal 8 4 5 2 2" xfId="7840" xr:uid="{00000000-0005-0000-0000-0000121E0000}"/>
    <cellStyle name="Normal 8 4 5 2 2 2" xfId="16282" xr:uid="{5B2A0397-4AA7-4C65-97E0-387916DC9ABC}"/>
    <cellStyle name="Normal 8 4 5 2 3" xfId="12064" xr:uid="{0CAAE5D6-0790-40B3-A5D5-219DCB859FE8}"/>
    <cellStyle name="Normal 8 4 5 3" xfId="5695" xr:uid="{00000000-0005-0000-0000-0000131E0000}"/>
    <cellStyle name="Normal 8 4 5 3 2" xfId="14137" xr:uid="{9FB0CFDF-2D90-4982-ACCD-83222BFB9B5E}"/>
    <cellStyle name="Normal 8 4 5 4" xfId="9919" xr:uid="{BF22F87A-26D1-492F-B2A5-3F58A11FEB4C}"/>
    <cellStyle name="Normal 8 4 6" xfId="1800" xr:uid="{00000000-0005-0000-0000-0000141E0000}"/>
    <cellStyle name="Normal 8 4 6 2" xfId="4030" xr:uid="{00000000-0005-0000-0000-0000151E0000}"/>
    <cellStyle name="Normal 8 4 6 2 2" xfId="8253" xr:uid="{00000000-0005-0000-0000-0000161E0000}"/>
    <cellStyle name="Normal 8 4 6 2 2 2" xfId="16695" xr:uid="{1992601E-D253-4FC8-B1ED-8AD4C44FA712}"/>
    <cellStyle name="Normal 8 4 6 2 3" xfId="12477" xr:uid="{8A1D454B-3331-4A2A-9CDE-09BFCF1C02CD}"/>
    <cellStyle name="Normal 8 4 6 3" xfId="6108" xr:uid="{00000000-0005-0000-0000-0000171E0000}"/>
    <cellStyle name="Normal 8 4 6 3 2" xfId="14550" xr:uid="{D68E7373-008B-490A-B7BC-1804C82A7E0E}"/>
    <cellStyle name="Normal 8 4 6 4" xfId="10332" xr:uid="{39E51168-5F6A-41C0-A9BD-073D02A861EE}"/>
    <cellStyle name="Normal 8 4 7" xfId="2214" xr:uid="{00000000-0005-0000-0000-0000181E0000}"/>
    <cellStyle name="Normal 8 4 7 2" xfId="4443" xr:uid="{00000000-0005-0000-0000-0000191E0000}"/>
    <cellStyle name="Normal 8 4 7 2 2" xfId="8666" xr:uid="{00000000-0005-0000-0000-00001A1E0000}"/>
    <cellStyle name="Normal 8 4 7 2 2 2" xfId="17108" xr:uid="{472C4E8D-3C60-4E64-BE8E-ACA7D3F02CA3}"/>
    <cellStyle name="Normal 8 4 7 2 3" xfId="12890" xr:uid="{76A50305-AB72-4F5F-8386-F73156250D58}"/>
    <cellStyle name="Normal 8 4 7 3" xfId="6521" xr:uid="{00000000-0005-0000-0000-00001B1E0000}"/>
    <cellStyle name="Normal 8 4 7 3 2" xfId="14963" xr:uid="{54F6B082-37F7-4024-8895-579BA6505EA8}"/>
    <cellStyle name="Normal 8 4 7 4" xfId="10745" xr:uid="{79E88A66-A3D4-48B6-BDE9-17DBF1B7DF09}"/>
    <cellStyle name="Normal 8 4 8" xfId="2650" xr:uid="{00000000-0005-0000-0000-00001C1E0000}"/>
    <cellStyle name="Normal 8 4 8 2" xfId="6934" xr:uid="{00000000-0005-0000-0000-00001D1E0000}"/>
    <cellStyle name="Normal 8 4 8 2 2" xfId="15376" xr:uid="{06D73F5A-0A19-4E4F-8E59-78C6047B101A}"/>
    <cellStyle name="Normal 8 4 8 3" xfId="11158" xr:uid="{4999613B-E260-4952-9BBB-19AD889FAD30}"/>
    <cellStyle name="Normal 8 4 9" xfId="4869" xr:uid="{00000000-0005-0000-0000-00001E1E0000}"/>
    <cellStyle name="Normal 8 4 9 2" xfId="13311" xr:uid="{D48B4369-AF0B-4A8B-BD47-874FEDD16187}"/>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2 2 2" xfId="15874" xr:uid="{D4BAC3BD-91DC-4341-972F-33AD64862D1C}"/>
    <cellStyle name="Normal 8 5 2 2 2 3" xfId="11656" xr:uid="{5F91F9E8-9E26-4FC0-A8BD-0DE1E9B6C0F7}"/>
    <cellStyle name="Normal 8 5 2 2 3" xfId="5287" xr:uid="{00000000-0005-0000-0000-0000241E0000}"/>
    <cellStyle name="Normal 8 5 2 2 3 2" xfId="13729" xr:uid="{BBAB2D3D-31C0-4907-B94A-4EE0D7829096}"/>
    <cellStyle name="Normal 8 5 2 2 4" xfId="9511" xr:uid="{40EBE501-3B86-49C5-AC12-5E8A341B2469}"/>
    <cellStyle name="Normal 8 5 2 3" xfId="1392" xr:uid="{00000000-0005-0000-0000-0000251E0000}"/>
    <cellStyle name="Normal 8 5 2 3 2" xfId="3622" xr:uid="{00000000-0005-0000-0000-0000261E0000}"/>
    <cellStyle name="Normal 8 5 2 3 2 2" xfId="7845" xr:uid="{00000000-0005-0000-0000-0000271E0000}"/>
    <cellStyle name="Normal 8 5 2 3 2 2 2" xfId="16287" xr:uid="{47A27313-6D2E-419C-92AC-A6EC454E52F5}"/>
    <cellStyle name="Normal 8 5 2 3 2 3" xfId="12069" xr:uid="{BE0B08DB-0DFC-4A1C-B3FA-834013882B0B}"/>
    <cellStyle name="Normal 8 5 2 3 3" xfId="5700" xr:uid="{00000000-0005-0000-0000-0000281E0000}"/>
    <cellStyle name="Normal 8 5 2 3 3 2" xfId="14142" xr:uid="{CDC3816D-52CB-4A14-984F-2E5B939F0688}"/>
    <cellStyle name="Normal 8 5 2 3 4" xfId="9924" xr:uid="{36649612-88CE-472E-A148-B06B9FF375E5}"/>
    <cellStyle name="Normal 8 5 2 4" xfId="1805" xr:uid="{00000000-0005-0000-0000-0000291E0000}"/>
    <cellStyle name="Normal 8 5 2 4 2" xfId="4035" xr:uid="{00000000-0005-0000-0000-00002A1E0000}"/>
    <cellStyle name="Normal 8 5 2 4 2 2" xfId="8258" xr:uid="{00000000-0005-0000-0000-00002B1E0000}"/>
    <cellStyle name="Normal 8 5 2 4 2 2 2" xfId="16700" xr:uid="{DFE81372-3E01-43E8-BD73-E0386791DC40}"/>
    <cellStyle name="Normal 8 5 2 4 2 3" xfId="12482" xr:uid="{1FD15A57-0BB8-4A8D-BA9D-4D0EA0F1434B}"/>
    <cellStyle name="Normal 8 5 2 4 3" xfId="6113" xr:uid="{00000000-0005-0000-0000-00002C1E0000}"/>
    <cellStyle name="Normal 8 5 2 4 3 2" xfId="14555" xr:uid="{890D4160-B456-4DF5-ABC3-6A92F6B11340}"/>
    <cellStyle name="Normal 8 5 2 4 4" xfId="10337" xr:uid="{CA5BA806-63C6-40CE-B76D-BA572E8DC06C}"/>
    <cellStyle name="Normal 8 5 2 5" xfId="2219" xr:uid="{00000000-0005-0000-0000-00002D1E0000}"/>
    <cellStyle name="Normal 8 5 2 5 2" xfId="4448" xr:uid="{00000000-0005-0000-0000-00002E1E0000}"/>
    <cellStyle name="Normal 8 5 2 5 2 2" xfId="8671" xr:uid="{00000000-0005-0000-0000-00002F1E0000}"/>
    <cellStyle name="Normal 8 5 2 5 2 2 2" xfId="17113" xr:uid="{D48404EF-8167-4B71-9F70-E5B1CEE21234}"/>
    <cellStyle name="Normal 8 5 2 5 2 3" xfId="12895" xr:uid="{AB9317CE-A220-43EC-ADC4-2CA16DAD9D62}"/>
    <cellStyle name="Normal 8 5 2 5 3" xfId="6526" xr:uid="{00000000-0005-0000-0000-0000301E0000}"/>
    <cellStyle name="Normal 8 5 2 5 3 2" xfId="14968" xr:uid="{A3AD1F24-6A3B-41AF-A3FA-4F7F4525D899}"/>
    <cellStyle name="Normal 8 5 2 5 4" xfId="10750" xr:uid="{F4E4EA87-EDC4-4E21-93A9-DE92904BB058}"/>
    <cellStyle name="Normal 8 5 2 6" xfId="2655" xr:uid="{00000000-0005-0000-0000-0000311E0000}"/>
    <cellStyle name="Normal 8 5 2 6 2" xfId="6939" xr:uid="{00000000-0005-0000-0000-0000321E0000}"/>
    <cellStyle name="Normal 8 5 2 6 2 2" xfId="15381" xr:uid="{F995F557-32EF-467D-B91E-9F130ABFDB0A}"/>
    <cellStyle name="Normal 8 5 2 6 3" xfId="11163" xr:uid="{F931FF1A-DEC6-461D-B1F8-A27ABA86E451}"/>
    <cellStyle name="Normal 8 5 2 7" xfId="4874" xr:uid="{00000000-0005-0000-0000-0000331E0000}"/>
    <cellStyle name="Normal 8 5 2 7 2" xfId="13316" xr:uid="{9305F12B-0EE1-4D43-83AA-3883182FF699}"/>
    <cellStyle name="Normal 8 5 2 8" xfId="9098" xr:uid="{8AA48523-6D04-4EA5-B3CB-D27FE390541D}"/>
    <cellStyle name="Normal 8 5 3" xfId="974" xr:uid="{00000000-0005-0000-0000-0000341E0000}"/>
    <cellStyle name="Normal 8 5 3 2" xfId="3208" xr:uid="{00000000-0005-0000-0000-0000351E0000}"/>
    <cellStyle name="Normal 8 5 3 2 2" xfId="7431" xr:uid="{00000000-0005-0000-0000-0000361E0000}"/>
    <cellStyle name="Normal 8 5 3 2 2 2" xfId="15873" xr:uid="{7985BCCC-09F5-4B4F-A755-3D13A527B8B7}"/>
    <cellStyle name="Normal 8 5 3 2 3" xfId="11655" xr:uid="{2238B904-3222-4EE1-BBDE-672CE6B0FDCF}"/>
    <cellStyle name="Normal 8 5 3 3" xfId="5286" xr:uid="{00000000-0005-0000-0000-0000371E0000}"/>
    <cellStyle name="Normal 8 5 3 3 2" xfId="13728" xr:uid="{C8E21319-E1ED-4323-9A69-31961631665E}"/>
    <cellStyle name="Normal 8 5 3 4" xfId="9510" xr:uid="{F70B6AA2-2AFF-467B-872F-53D90A4960C5}"/>
    <cellStyle name="Normal 8 5 4" xfId="1391" xr:uid="{00000000-0005-0000-0000-0000381E0000}"/>
    <cellStyle name="Normal 8 5 4 2" xfId="3621" xr:uid="{00000000-0005-0000-0000-0000391E0000}"/>
    <cellStyle name="Normal 8 5 4 2 2" xfId="7844" xr:uid="{00000000-0005-0000-0000-00003A1E0000}"/>
    <cellStyle name="Normal 8 5 4 2 2 2" xfId="16286" xr:uid="{288256EB-9A64-449E-8122-CD3DD335429F}"/>
    <cellStyle name="Normal 8 5 4 2 3" xfId="12068" xr:uid="{A5A8250A-FE6B-4F16-A857-DD343BF2ED98}"/>
    <cellStyle name="Normal 8 5 4 3" xfId="5699" xr:uid="{00000000-0005-0000-0000-00003B1E0000}"/>
    <cellStyle name="Normal 8 5 4 3 2" xfId="14141" xr:uid="{F03AAAC4-C5D8-4CB7-9DAA-E0AF5727D4C7}"/>
    <cellStyle name="Normal 8 5 4 4" xfId="9923" xr:uid="{90A6DE7E-5899-4736-A13A-BDFCF4F1E622}"/>
    <cellStyle name="Normal 8 5 5" xfId="1804" xr:uid="{00000000-0005-0000-0000-00003C1E0000}"/>
    <cellStyle name="Normal 8 5 5 2" xfId="4034" xr:uid="{00000000-0005-0000-0000-00003D1E0000}"/>
    <cellStyle name="Normal 8 5 5 2 2" xfId="8257" xr:uid="{00000000-0005-0000-0000-00003E1E0000}"/>
    <cellStyle name="Normal 8 5 5 2 2 2" xfId="16699" xr:uid="{E60C8801-0D83-4332-9116-276AFF4C2DB8}"/>
    <cellStyle name="Normal 8 5 5 2 3" xfId="12481" xr:uid="{634A2587-191A-43FC-8AE5-49B8C29F3833}"/>
    <cellStyle name="Normal 8 5 5 3" xfId="6112" xr:uid="{00000000-0005-0000-0000-00003F1E0000}"/>
    <cellStyle name="Normal 8 5 5 3 2" xfId="14554" xr:uid="{218D98E1-CF22-4BBE-9D06-CAFA3F97CD04}"/>
    <cellStyle name="Normal 8 5 5 4" xfId="10336" xr:uid="{60A86B90-1257-4FBC-8D91-23BA282BC6BF}"/>
    <cellStyle name="Normal 8 5 6" xfId="2218" xr:uid="{00000000-0005-0000-0000-0000401E0000}"/>
    <cellStyle name="Normal 8 5 6 2" xfId="4447" xr:uid="{00000000-0005-0000-0000-0000411E0000}"/>
    <cellStyle name="Normal 8 5 6 2 2" xfId="8670" xr:uid="{00000000-0005-0000-0000-0000421E0000}"/>
    <cellStyle name="Normal 8 5 6 2 2 2" xfId="17112" xr:uid="{C92E6C57-2780-4B08-9132-CC4A519205E1}"/>
    <cellStyle name="Normal 8 5 6 2 3" xfId="12894" xr:uid="{270EFE9F-A095-41BC-9B2B-746A3ECD9377}"/>
    <cellStyle name="Normal 8 5 6 3" xfId="6525" xr:uid="{00000000-0005-0000-0000-0000431E0000}"/>
    <cellStyle name="Normal 8 5 6 3 2" xfId="14967" xr:uid="{D4510FEF-4D53-47A3-B6D3-7742680F7F6B}"/>
    <cellStyle name="Normal 8 5 6 4" xfId="10749" xr:uid="{79278D47-435F-4206-BC69-9B8E40601622}"/>
    <cellStyle name="Normal 8 5 7" xfId="2654" xr:uid="{00000000-0005-0000-0000-0000441E0000}"/>
    <cellStyle name="Normal 8 5 7 2" xfId="6938" xr:uid="{00000000-0005-0000-0000-0000451E0000}"/>
    <cellStyle name="Normal 8 5 7 2 2" xfId="15380" xr:uid="{3600DEA8-0718-4671-8C1A-DE6BBB659ABE}"/>
    <cellStyle name="Normal 8 5 7 3" xfId="11162" xr:uid="{0D5102DA-217D-4983-9E0A-2780DF53ABED}"/>
    <cellStyle name="Normal 8 5 8" xfId="4873" xr:uid="{00000000-0005-0000-0000-0000461E0000}"/>
    <cellStyle name="Normal 8 5 8 2" xfId="13315" xr:uid="{E6D10A03-FC77-4988-B905-2F4F89914FCA}"/>
    <cellStyle name="Normal 8 5 9" xfId="9097" xr:uid="{1A493C3D-0FBA-44F0-BA27-B21B148DF63E}"/>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2 2 2" xfId="15875" xr:uid="{9CB029DE-E60A-428B-AD60-78B0DED26B44}"/>
    <cellStyle name="Normal 8 6 2 2 3" xfId="11657" xr:uid="{2C0909D6-EA3E-4C01-A8DF-12534D93579D}"/>
    <cellStyle name="Normal 8 6 2 3" xfId="5288" xr:uid="{00000000-0005-0000-0000-00004B1E0000}"/>
    <cellStyle name="Normal 8 6 2 3 2" xfId="13730" xr:uid="{7AADDF50-4025-4975-9138-AB2A5C706AE1}"/>
    <cellStyle name="Normal 8 6 2 4" xfId="9512" xr:uid="{DFA376B6-9909-44DE-AB54-E7E7AE28D1CD}"/>
    <cellStyle name="Normal 8 6 3" xfId="1393" xr:uid="{00000000-0005-0000-0000-00004C1E0000}"/>
    <cellStyle name="Normal 8 6 3 2" xfId="3623" xr:uid="{00000000-0005-0000-0000-00004D1E0000}"/>
    <cellStyle name="Normal 8 6 3 2 2" xfId="7846" xr:uid="{00000000-0005-0000-0000-00004E1E0000}"/>
    <cellStyle name="Normal 8 6 3 2 2 2" xfId="16288" xr:uid="{C13CA47F-90C2-4B63-BF26-ACD96A7B16CC}"/>
    <cellStyle name="Normal 8 6 3 2 3" xfId="12070" xr:uid="{C17D9DA7-CA3D-459B-9195-20F6F49A25DA}"/>
    <cellStyle name="Normal 8 6 3 3" xfId="5701" xr:uid="{00000000-0005-0000-0000-00004F1E0000}"/>
    <cellStyle name="Normal 8 6 3 3 2" xfId="14143" xr:uid="{B95F7A27-1299-4D99-9253-31931FAA5A67}"/>
    <cellStyle name="Normal 8 6 3 4" xfId="9925" xr:uid="{D5A2216C-EFCC-4042-B4B9-782D47960860}"/>
    <cellStyle name="Normal 8 6 4" xfId="1806" xr:uid="{00000000-0005-0000-0000-0000501E0000}"/>
    <cellStyle name="Normal 8 6 4 2" xfId="4036" xr:uid="{00000000-0005-0000-0000-0000511E0000}"/>
    <cellStyle name="Normal 8 6 4 2 2" xfId="8259" xr:uid="{00000000-0005-0000-0000-0000521E0000}"/>
    <cellStyle name="Normal 8 6 4 2 2 2" xfId="16701" xr:uid="{891BD484-8EE7-4F54-9C4F-5EE27E66D83F}"/>
    <cellStyle name="Normal 8 6 4 2 3" xfId="12483" xr:uid="{162EEC4B-83F8-43DC-9D24-67F69BF77223}"/>
    <cellStyle name="Normal 8 6 4 3" xfId="6114" xr:uid="{00000000-0005-0000-0000-0000531E0000}"/>
    <cellStyle name="Normal 8 6 4 3 2" xfId="14556" xr:uid="{A4396FE9-6D99-4213-9CFC-14BF4A17AA4A}"/>
    <cellStyle name="Normal 8 6 4 4" xfId="10338" xr:uid="{15BD0447-B573-412D-82B5-DECC2FAE1C6E}"/>
    <cellStyle name="Normal 8 6 5" xfId="2220" xr:uid="{00000000-0005-0000-0000-0000541E0000}"/>
    <cellStyle name="Normal 8 6 5 2" xfId="4449" xr:uid="{00000000-0005-0000-0000-0000551E0000}"/>
    <cellStyle name="Normal 8 6 5 2 2" xfId="8672" xr:uid="{00000000-0005-0000-0000-0000561E0000}"/>
    <cellStyle name="Normal 8 6 5 2 2 2" xfId="17114" xr:uid="{1DE2CB4E-6216-4449-A3F6-4A3AAA3B2FC1}"/>
    <cellStyle name="Normal 8 6 5 2 3" xfId="12896" xr:uid="{080D2A41-A629-4CE0-86A6-ADB525E953FE}"/>
    <cellStyle name="Normal 8 6 5 3" xfId="6527" xr:uid="{00000000-0005-0000-0000-0000571E0000}"/>
    <cellStyle name="Normal 8 6 5 3 2" xfId="14969" xr:uid="{3B84EA82-2E14-44C9-BCC8-7AD9E49E1BD1}"/>
    <cellStyle name="Normal 8 6 5 4" xfId="10751" xr:uid="{E7B8325F-8609-4299-9C9D-46B94B7F0EBE}"/>
    <cellStyle name="Normal 8 6 6" xfId="2656" xr:uid="{00000000-0005-0000-0000-0000581E0000}"/>
    <cellStyle name="Normal 8 6 6 2" xfId="6940" xr:uid="{00000000-0005-0000-0000-0000591E0000}"/>
    <cellStyle name="Normal 8 6 6 2 2" xfId="15382" xr:uid="{96DFA07A-5A26-464C-B140-DF6F04555FD1}"/>
    <cellStyle name="Normal 8 6 6 3" xfId="11164" xr:uid="{637F0760-F645-435B-BD65-7D38342C8FB8}"/>
    <cellStyle name="Normal 8 6 7" xfId="4875" xr:uid="{00000000-0005-0000-0000-00005A1E0000}"/>
    <cellStyle name="Normal 8 6 7 2" xfId="13317" xr:uid="{761AD5CC-2B24-4DBD-BEB3-AE7ACD75A1FD}"/>
    <cellStyle name="Normal 8 6 8" xfId="9099" xr:uid="{C68568B9-62C1-4922-964D-1287B0FCC28F}"/>
    <cellStyle name="Normal 8 7" xfId="945" xr:uid="{00000000-0005-0000-0000-00005B1E0000}"/>
    <cellStyle name="Normal 8 7 2" xfId="3179" xr:uid="{00000000-0005-0000-0000-00005C1E0000}"/>
    <cellStyle name="Normal 8 7 2 2" xfId="7402" xr:uid="{00000000-0005-0000-0000-00005D1E0000}"/>
    <cellStyle name="Normal 8 7 2 2 2" xfId="15844" xr:uid="{DB007774-C5CF-4D26-8200-BB78BA5BC537}"/>
    <cellStyle name="Normal 8 7 2 3" xfId="11626" xr:uid="{62E6B35F-4658-4051-BCA8-EFF96584454A}"/>
    <cellStyle name="Normal 8 7 3" xfId="5257" xr:uid="{00000000-0005-0000-0000-00005E1E0000}"/>
    <cellStyle name="Normal 8 7 3 2" xfId="13699" xr:uid="{34961454-0037-492C-AAC4-E24CA181B494}"/>
    <cellStyle name="Normal 8 7 4" xfId="9481" xr:uid="{C7F88B4E-E5F6-4AF0-BD55-6FB59797A450}"/>
    <cellStyle name="Normal 8 8" xfId="1362" xr:uid="{00000000-0005-0000-0000-00005F1E0000}"/>
    <cellStyle name="Normal 8 8 2" xfId="3592" xr:uid="{00000000-0005-0000-0000-0000601E0000}"/>
    <cellStyle name="Normal 8 8 2 2" xfId="7815" xr:uid="{00000000-0005-0000-0000-0000611E0000}"/>
    <cellStyle name="Normal 8 8 2 2 2" xfId="16257" xr:uid="{BA75075E-CF5A-4972-8A5B-2FD032EDD189}"/>
    <cellStyle name="Normal 8 8 2 3" xfId="12039" xr:uid="{559E7142-67C3-4750-A3D8-44F2D7742B1F}"/>
    <cellStyle name="Normal 8 8 3" xfId="5670" xr:uid="{00000000-0005-0000-0000-0000621E0000}"/>
    <cellStyle name="Normal 8 8 3 2" xfId="14112" xr:uid="{99025FA3-F9EB-4EC1-BE2E-59B4939EDF3A}"/>
    <cellStyle name="Normal 8 8 4" xfId="9894" xr:uid="{BA19FB72-DF15-44BA-93F0-3E719E3F19CA}"/>
    <cellStyle name="Normal 8 9" xfId="1775" xr:uid="{00000000-0005-0000-0000-0000631E0000}"/>
    <cellStyle name="Normal 8 9 2" xfId="4005" xr:uid="{00000000-0005-0000-0000-0000641E0000}"/>
    <cellStyle name="Normal 8 9 2 2" xfId="8228" xr:uid="{00000000-0005-0000-0000-0000651E0000}"/>
    <cellStyle name="Normal 8 9 2 2 2" xfId="16670" xr:uid="{7324A14F-3890-404D-98A4-6FED98D28BC6}"/>
    <cellStyle name="Normal 8 9 2 3" xfId="12452" xr:uid="{B80ED60A-BCB0-4504-A3C0-4E2516A3DAFB}"/>
    <cellStyle name="Normal 8 9 3" xfId="6083" xr:uid="{00000000-0005-0000-0000-0000661E0000}"/>
    <cellStyle name="Normal 8 9 3 2" xfId="14525" xr:uid="{8304A76C-8EE3-4048-8159-8F46C575398C}"/>
    <cellStyle name="Normal 8 9 4" xfId="10307" xr:uid="{A3AE2619-5B1C-46CE-923F-B021DC0AADF1}"/>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0 2 2" xfId="15383" xr:uid="{3152294A-B796-46CE-B031-9C43FD310BD5}"/>
    <cellStyle name="Normal 9 2 10 3" xfId="11165" xr:uid="{ADE4E760-821E-4682-AE1D-1CD3E13D8A4D}"/>
    <cellStyle name="Normal 9 2 11" xfId="4876" xr:uid="{00000000-0005-0000-0000-00006B1E0000}"/>
    <cellStyle name="Normal 9 2 11 2" xfId="13318" xr:uid="{BA40B28A-0A65-4057-869A-19E3AF88E7FD}"/>
    <cellStyle name="Normal 9 2 12" xfId="9100" xr:uid="{4AC0D23D-9CC0-486F-A5D6-DDC8926D9D2F}"/>
    <cellStyle name="Normal 9 2 2" xfId="512" xr:uid="{00000000-0005-0000-0000-00006C1E0000}"/>
    <cellStyle name="Normal 9 2 2 10" xfId="4877" xr:uid="{00000000-0005-0000-0000-00006D1E0000}"/>
    <cellStyle name="Normal 9 2 2 10 2" xfId="13319" xr:uid="{52D0AD66-DBF3-4B25-A1C7-87897069770C}"/>
    <cellStyle name="Normal 9 2 2 11" xfId="9101" xr:uid="{2098A66B-5C73-4FE9-AE54-AE968538D3BE}"/>
    <cellStyle name="Normal 9 2 2 2" xfId="513" xr:uid="{00000000-0005-0000-0000-00006E1E0000}"/>
    <cellStyle name="Normal 9 2 2 2 10" xfId="9102" xr:uid="{361C33FF-F04D-445F-8A08-84428D21430C}"/>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2 2 2" xfId="15880" xr:uid="{94CD4539-B2EE-49E9-B20C-B453A26BE5CD}"/>
    <cellStyle name="Normal 9 2 2 2 2 2 2 2 3" xfId="11662" xr:uid="{4BAA445E-AC26-4D53-8F7C-81F92B9AB053}"/>
    <cellStyle name="Normal 9 2 2 2 2 2 2 3" xfId="5293" xr:uid="{00000000-0005-0000-0000-0000741E0000}"/>
    <cellStyle name="Normal 9 2 2 2 2 2 2 3 2" xfId="13735" xr:uid="{98F07B9A-0DF1-44A8-B80D-9EE42E2C0D3F}"/>
    <cellStyle name="Normal 9 2 2 2 2 2 2 4" xfId="9517" xr:uid="{64A25501-7914-4DCF-8565-D78572182FBC}"/>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2 2 2" xfId="16293" xr:uid="{DC91C541-42B3-4E5A-ACEE-593A6CCEFD24}"/>
    <cellStyle name="Normal 9 2 2 2 2 2 3 2 3" xfId="12075" xr:uid="{21F1FF6E-54E3-43B4-967C-185A94736961}"/>
    <cellStyle name="Normal 9 2 2 2 2 2 3 3" xfId="5706" xr:uid="{00000000-0005-0000-0000-0000781E0000}"/>
    <cellStyle name="Normal 9 2 2 2 2 2 3 3 2" xfId="14148" xr:uid="{CB26AD97-4721-46D4-A793-1A783D92E675}"/>
    <cellStyle name="Normal 9 2 2 2 2 2 3 4" xfId="9930" xr:uid="{685F9987-DE5D-46CD-B257-B0DC4B0B7164}"/>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2 2 2" xfId="16706" xr:uid="{14E5A325-2175-431F-BCFC-31C2EFB041A7}"/>
    <cellStyle name="Normal 9 2 2 2 2 2 4 2 3" xfId="12488" xr:uid="{CE1E2E57-19C4-4E50-BE28-078EF31C9DF0}"/>
    <cellStyle name="Normal 9 2 2 2 2 2 4 3" xfId="6119" xr:uid="{00000000-0005-0000-0000-00007C1E0000}"/>
    <cellStyle name="Normal 9 2 2 2 2 2 4 3 2" xfId="14561" xr:uid="{19DF255B-C440-469A-BF6B-A1E90FC5EBB2}"/>
    <cellStyle name="Normal 9 2 2 2 2 2 4 4" xfId="10343" xr:uid="{8ED26E49-5919-4504-BA39-C9627A9126A3}"/>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2 2 2" xfId="17119" xr:uid="{4B6C7304-B588-4D98-A0CE-B818DA58AB43}"/>
    <cellStyle name="Normal 9 2 2 2 2 2 5 2 3" xfId="12901" xr:uid="{4E0981E9-33AA-421A-B93E-9ADF65C0334B}"/>
    <cellStyle name="Normal 9 2 2 2 2 2 5 3" xfId="6532" xr:uid="{00000000-0005-0000-0000-0000801E0000}"/>
    <cellStyle name="Normal 9 2 2 2 2 2 5 3 2" xfId="14974" xr:uid="{6C390BB5-5008-44EF-B18B-900664D1D84A}"/>
    <cellStyle name="Normal 9 2 2 2 2 2 5 4" xfId="10756" xr:uid="{767BB7AE-31CE-4684-B54A-49A226764C73}"/>
    <cellStyle name="Normal 9 2 2 2 2 2 6" xfId="2661" xr:uid="{00000000-0005-0000-0000-0000811E0000}"/>
    <cellStyle name="Normal 9 2 2 2 2 2 6 2" xfId="6945" xr:uid="{00000000-0005-0000-0000-0000821E0000}"/>
    <cellStyle name="Normal 9 2 2 2 2 2 6 2 2" xfId="15387" xr:uid="{37677CA0-CB29-40FA-AD79-86C4D9066110}"/>
    <cellStyle name="Normal 9 2 2 2 2 2 6 3" xfId="11169" xr:uid="{507E86AA-2B6F-40D6-AC9D-F5A67CB57F4E}"/>
    <cellStyle name="Normal 9 2 2 2 2 2 7" xfId="4880" xr:uid="{00000000-0005-0000-0000-0000831E0000}"/>
    <cellStyle name="Normal 9 2 2 2 2 2 7 2" xfId="13322" xr:uid="{8C435713-FB83-4433-A643-17587479017B}"/>
    <cellStyle name="Normal 9 2 2 2 2 2 8" xfId="9104" xr:uid="{73D861C1-5018-445B-8DFB-75573E2D33AF}"/>
    <cellStyle name="Normal 9 2 2 2 2 3" xfId="981" xr:uid="{00000000-0005-0000-0000-0000841E0000}"/>
    <cellStyle name="Normal 9 2 2 2 2 3 2" xfId="3214" xr:uid="{00000000-0005-0000-0000-0000851E0000}"/>
    <cellStyle name="Normal 9 2 2 2 2 3 2 2" xfId="7437" xr:uid="{00000000-0005-0000-0000-0000861E0000}"/>
    <cellStyle name="Normal 9 2 2 2 2 3 2 2 2" xfId="15879" xr:uid="{16F32602-C93C-4F5B-884A-499545F794C3}"/>
    <cellStyle name="Normal 9 2 2 2 2 3 2 3" xfId="11661" xr:uid="{22E230B6-C7CA-40AF-A60B-3F0E5156B1DF}"/>
    <cellStyle name="Normal 9 2 2 2 2 3 3" xfId="5292" xr:uid="{00000000-0005-0000-0000-0000871E0000}"/>
    <cellStyle name="Normal 9 2 2 2 2 3 3 2" xfId="13734" xr:uid="{57B35DC9-A21E-48CB-8379-93B0F96A691D}"/>
    <cellStyle name="Normal 9 2 2 2 2 3 4" xfId="9516" xr:uid="{CC03C249-36E9-4728-9A9D-76BC6F8715F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2 2 2" xfId="16292" xr:uid="{7D54D59E-360F-414C-894C-13371EA81CB8}"/>
    <cellStyle name="Normal 9 2 2 2 2 4 2 3" xfId="12074" xr:uid="{7ED490FE-3CE6-40F8-BA24-B6B6D102D781}"/>
    <cellStyle name="Normal 9 2 2 2 2 4 3" xfId="5705" xr:uid="{00000000-0005-0000-0000-00008B1E0000}"/>
    <cellStyle name="Normal 9 2 2 2 2 4 3 2" xfId="14147" xr:uid="{31780EE8-A81F-4814-A632-9654865282C0}"/>
    <cellStyle name="Normal 9 2 2 2 2 4 4" xfId="9929" xr:uid="{BED9C503-07A6-40EC-BF32-85305AB81181}"/>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2 2 2" xfId="16705" xr:uid="{246F3A34-87D1-452B-8AD2-6C036700D35E}"/>
    <cellStyle name="Normal 9 2 2 2 2 5 2 3" xfId="12487" xr:uid="{E7FD6BFB-5479-4E84-B7D4-909FD231D394}"/>
    <cellStyle name="Normal 9 2 2 2 2 5 3" xfId="6118" xr:uid="{00000000-0005-0000-0000-00008F1E0000}"/>
    <cellStyle name="Normal 9 2 2 2 2 5 3 2" xfId="14560" xr:uid="{AF01538A-5C51-46B2-AD32-A198EF94F03C}"/>
    <cellStyle name="Normal 9 2 2 2 2 5 4" xfId="10342" xr:uid="{91523AA3-36D9-41F8-8260-F3B56472D4E9}"/>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2 2 2" xfId="17118" xr:uid="{4DEAFC3F-B9E7-4356-8254-AFCE3AC79D07}"/>
    <cellStyle name="Normal 9 2 2 2 2 6 2 3" xfId="12900" xr:uid="{63F04428-6AF7-4A10-92D6-64119C7DE26A}"/>
    <cellStyle name="Normal 9 2 2 2 2 6 3" xfId="6531" xr:uid="{00000000-0005-0000-0000-0000931E0000}"/>
    <cellStyle name="Normal 9 2 2 2 2 6 3 2" xfId="14973" xr:uid="{36140BA5-E10C-4DD9-8A93-EABC00D89FDF}"/>
    <cellStyle name="Normal 9 2 2 2 2 6 4" xfId="10755" xr:uid="{A4015903-A793-402E-8C9A-449249C4FA5B}"/>
    <cellStyle name="Normal 9 2 2 2 2 7" xfId="2660" xr:uid="{00000000-0005-0000-0000-0000941E0000}"/>
    <cellStyle name="Normal 9 2 2 2 2 7 2" xfId="6944" xr:uid="{00000000-0005-0000-0000-0000951E0000}"/>
    <cellStyle name="Normal 9 2 2 2 2 7 2 2" xfId="15386" xr:uid="{1066A9D1-D9BE-4FBB-B465-18E702086A9E}"/>
    <cellStyle name="Normal 9 2 2 2 2 7 3" xfId="11168" xr:uid="{F8DF43B6-56AC-41A4-9BB4-12987F8B0AB4}"/>
    <cellStyle name="Normal 9 2 2 2 2 8" xfId="4879" xr:uid="{00000000-0005-0000-0000-0000961E0000}"/>
    <cellStyle name="Normal 9 2 2 2 2 8 2" xfId="13321" xr:uid="{32C0AE5C-DCE7-417F-B52E-5E082B4DCFC8}"/>
    <cellStyle name="Normal 9 2 2 2 2 9" xfId="9103" xr:uid="{68DC3B0D-26A3-41D6-8594-786936DE1C55}"/>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2 2 2" xfId="15881" xr:uid="{8519D8D5-BAF9-4F25-99AB-F9012CB5B8DC}"/>
    <cellStyle name="Normal 9 2 2 2 3 2 2 3" xfId="11663" xr:uid="{17AE8D53-E552-4849-B75E-A78EEA926FCC}"/>
    <cellStyle name="Normal 9 2 2 2 3 2 3" xfId="5294" xr:uid="{00000000-0005-0000-0000-00009B1E0000}"/>
    <cellStyle name="Normal 9 2 2 2 3 2 3 2" xfId="13736" xr:uid="{C6E2A79B-4C79-434A-8550-4F4894BEAA66}"/>
    <cellStyle name="Normal 9 2 2 2 3 2 4" xfId="9518" xr:uid="{3B5E0C87-BA2A-435C-A910-CDD5302E471E}"/>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2 2 2" xfId="16294" xr:uid="{E2BB6568-E0FF-4B0C-8106-755A9692A880}"/>
    <cellStyle name="Normal 9 2 2 2 3 3 2 3" xfId="12076" xr:uid="{48698288-815D-4A88-8B95-CFC2B0A02D3A}"/>
    <cellStyle name="Normal 9 2 2 2 3 3 3" xfId="5707" xr:uid="{00000000-0005-0000-0000-00009F1E0000}"/>
    <cellStyle name="Normal 9 2 2 2 3 3 3 2" xfId="14149" xr:uid="{B7A02D9B-AF63-4CB2-9CB9-CB3603CB318A}"/>
    <cellStyle name="Normal 9 2 2 2 3 3 4" xfId="9931" xr:uid="{D126570D-874A-4C2B-BFD5-4203A0267B79}"/>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2 2 2" xfId="16707" xr:uid="{5DA18A09-6F74-467A-8463-462B992DF512}"/>
    <cellStyle name="Normal 9 2 2 2 3 4 2 3" xfId="12489" xr:uid="{78BF5A75-448F-4054-8563-8A45BADD8688}"/>
    <cellStyle name="Normal 9 2 2 2 3 4 3" xfId="6120" xr:uid="{00000000-0005-0000-0000-0000A31E0000}"/>
    <cellStyle name="Normal 9 2 2 2 3 4 3 2" xfId="14562" xr:uid="{87068737-E5C1-4C30-BB1D-3241A92A6158}"/>
    <cellStyle name="Normal 9 2 2 2 3 4 4" xfId="10344" xr:uid="{61CBC077-CEDA-4270-939C-8B1B8275C7AF}"/>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2 2 2" xfId="17120" xr:uid="{4D98A9E0-AA7B-43EE-B4E6-570BA0892254}"/>
    <cellStyle name="Normal 9 2 2 2 3 5 2 3" xfId="12902" xr:uid="{596ADE49-D418-45FE-96B5-0E025FC1F805}"/>
    <cellStyle name="Normal 9 2 2 2 3 5 3" xfId="6533" xr:uid="{00000000-0005-0000-0000-0000A71E0000}"/>
    <cellStyle name="Normal 9 2 2 2 3 5 3 2" xfId="14975" xr:uid="{111897B9-577E-4887-ADAC-662A4FC5C5D6}"/>
    <cellStyle name="Normal 9 2 2 2 3 5 4" xfId="10757" xr:uid="{D745C4DA-6DAD-4069-BE69-BEF28C1EB60B}"/>
    <cellStyle name="Normal 9 2 2 2 3 6" xfId="2662" xr:uid="{00000000-0005-0000-0000-0000A81E0000}"/>
    <cellStyle name="Normal 9 2 2 2 3 6 2" xfId="6946" xr:uid="{00000000-0005-0000-0000-0000A91E0000}"/>
    <cellStyle name="Normal 9 2 2 2 3 6 2 2" xfId="15388" xr:uid="{B802779D-60A6-4E6E-AAF6-385D9189F4C8}"/>
    <cellStyle name="Normal 9 2 2 2 3 6 3" xfId="11170" xr:uid="{A6E08FC8-EFAE-4D96-85F2-DB11BC2BD7CA}"/>
    <cellStyle name="Normal 9 2 2 2 3 7" xfId="4881" xr:uid="{00000000-0005-0000-0000-0000AA1E0000}"/>
    <cellStyle name="Normal 9 2 2 2 3 7 2" xfId="13323" xr:uid="{7DB37519-4CC8-4C32-B745-F4CF443B3638}"/>
    <cellStyle name="Normal 9 2 2 2 3 8" xfId="9105" xr:uid="{32AB590C-F170-4EA9-A316-72BCD1888CBD}"/>
    <cellStyle name="Normal 9 2 2 2 4" xfId="980" xr:uid="{00000000-0005-0000-0000-0000AB1E0000}"/>
    <cellStyle name="Normal 9 2 2 2 4 2" xfId="3213" xr:uid="{00000000-0005-0000-0000-0000AC1E0000}"/>
    <cellStyle name="Normal 9 2 2 2 4 2 2" xfId="7436" xr:uid="{00000000-0005-0000-0000-0000AD1E0000}"/>
    <cellStyle name="Normal 9 2 2 2 4 2 2 2" xfId="15878" xr:uid="{EB905EB2-B95A-4244-8786-91C868A3D13A}"/>
    <cellStyle name="Normal 9 2 2 2 4 2 3" xfId="11660" xr:uid="{824460B5-E48A-48C3-9624-435161AD459E}"/>
    <cellStyle name="Normal 9 2 2 2 4 3" xfId="5291" xr:uid="{00000000-0005-0000-0000-0000AE1E0000}"/>
    <cellStyle name="Normal 9 2 2 2 4 3 2" xfId="13733" xr:uid="{CCFFDDB8-5AD2-4B09-9DA4-94F81ED3C153}"/>
    <cellStyle name="Normal 9 2 2 2 4 4" xfId="9515" xr:uid="{AD31A7AD-B83D-4F04-96F2-057F2775A439}"/>
    <cellStyle name="Normal 9 2 2 2 5" xfId="1396" xr:uid="{00000000-0005-0000-0000-0000AF1E0000}"/>
    <cellStyle name="Normal 9 2 2 2 5 2" xfId="3626" xr:uid="{00000000-0005-0000-0000-0000B01E0000}"/>
    <cellStyle name="Normal 9 2 2 2 5 2 2" xfId="7849" xr:uid="{00000000-0005-0000-0000-0000B11E0000}"/>
    <cellStyle name="Normal 9 2 2 2 5 2 2 2" xfId="16291" xr:uid="{364F48E6-4436-4B53-97D8-19E95515DBCB}"/>
    <cellStyle name="Normal 9 2 2 2 5 2 3" xfId="12073" xr:uid="{E986BC2E-C9F7-46C2-9EB7-A0DCBED40129}"/>
    <cellStyle name="Normal 9 2 2 2 5 3" xfId="5704" xr:uid="{00000000-0005-0000-0000-0000B21E0000}"/>
    <cellStyle name="Normal 9 2 2 2 5 3 2" xfId="14146" xr:uid="{7001A537-108A-4AF0-A1DD-1CB82A564394}"/>
    <cellStyle name="Normal 9 2 2 2 5 4" xfId="9928" xr:uid="{613C7E99-ED90-4DE4-B69D-06E293A421CA}"/>
    <cellStyle name="Normal 9 2 2 2 6" xfId="1809" xr:uid="{00000000-0005-0000-0000-0000B31E0000}"/>
    <cellStyle name="Normal 9 2 2 2 6 2" xfId="4039" xr:uid="{00000000-0005-0000-0000-0000B41E0000}"/>
    <cellStyle name="Normal 9 2 2 2 6 2 2" xfId="8262" xr:uid="{00000000-0005-0000-0000-0000B51E0000}"/>
    <cellStyle name="Normal 9 2 2 2 6 2 2 2" xfId="16704" xr:uid="{3F1986F4-CA09-4930-83F5-161534C2D792}"/>
    <cellStyle name="Normal 9 2 2 2 6 2 3" xfId="12486" xr:uid="{2B53409C-3C8E-400A-9E80-9B9D7E554A31}"/>
    <cellStyle name="Normal 9 2 2 2 6 3" xfId="6117" xr:uid="{00000000-0005-0000-0000-0000B61E0000}"/>
    <cellStyle name="Normal 9 2 2 2 6 3 2" xfId="14559" xr:uid="{1A025884-90C1-46F1-8088-F8CBA49B1932}"/>
    <cellStyle name="Normal 9 2 2 2 6 4" xfId="10341" xr:uid="{1907DB50-E003-4A38-B5A4-6F45D219A0D4}"/>
    <cellStyle name="Normal 9 2 2 2 7" xfId="2223" xr:uid="{00000000-0005-0000-0000-0000B71E0000}"/>
    <cellStyle name="Normal 9 2 2 2 7 2" xfId="4452" xr:uid="{00000000-0005-0000-0000-0000B81E0000}"/>
    <cellStyle name="Normal 9 2 2 2 7 2 2" xfId="8675" xr:uid="{00000000-0005-0000-0000-0000B91E0000}"/>
    <cellStyle name="Normal 9 2 2 2 7 2 2 2" xfId="17117" xr:uid="{4D7CADA6-49A8-429C-BDFB-F5481820D947}"/>
    <cellStyle name="Normal 9 2 2 2 7 2 3" xfId="12899" xr:uid="{AC703589-D8DA-4C5F-8288-B62E9DB99532}"/>
    <cellStyle name="Normal 9 2 2 2 7 3" xfId="6530" xr:uid="{00000000-0005-0000-0000-0000BA1E0000}"/>
    <cellStyle name="Normal 9 2 2 2 7 3 2" xfId="14972" xr:uid="{0A4D7CDC-FC6B-4885-9888-27DB94F76EB7}"/>
    <cellStyle name="Normal 9 2 2 2 7 4" xfId="10754" xr:uid="{E4D5F46F-F7F0-405B-9281-63A08783C75F}"/>
    <cellStyle name="Normal 9 2 2 2 8" xfId="2659" xr:uid="{00000000-0005-0000-0000-0000BB1E0000}"/>
    <cellStyle name="Normal 9 2 2 2 8 2" xfId="6943" xr:uid="{00000000-0005-0000-0000-0000BC1E0000}"/>
    <cellStyle name="Normal 9 2 2 2 8 2 2" xfId="15385" xr:uid="{1E5BDB2E-CE7C-4879-A39C-A7C01EDCC654}"/>
    <cellStyle name="Normal 9 2 2 2 8 3" xfId="11167" xr:uid="{9343AA7B-89F4-45D6-AF5D-D348BBCBC273}"/>
    <cellStyle name="Normal 9 2 2 2 9" xfId="4878" xr:uid="{00000000-0005-0000-0000-0000BD1E0000}"/>
    <cellStyle name="Normal 9 2 2 2 9 2" xfId="13320" xr:uid="{65E90436-A101-4E97-BEBD-E7D5C13CC4EA}"/>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2 2 2" xfId="15883" xr:uid="{D4A315AF-B29C-4C55-87ED-9F58AE50E838}"/>
    <cellStyle name="Normal 9 2 2 3 2 2 2 3" xfId="11665" xr:uid="{E9943AD9-1C35-4B8E-88A8-A72A625CD733}"/>
    <cellStyle name="Normal 9 2 2 3 2 2 3" xfId="5296" xr:uid="{00000000-0005-0000-0000-0000C31E0000}"/>
    <cellStyle name="Normal 9 2 2 3 2 2 3 2" xfId="13738" xr:uid="{5CFB06E8-88E9-466E-B42C-97ECF328AA5F}"/>
    <cellStyle name="Normal 9 2 2 3 2 2 4" xfId="9520" xr:uid="{6EBD55A5-3D63-45CA-A612-E15F95A6FA7C}"/>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2 2 2" xfId="16296" xr:uid="{1E60B20A-3672-4A7C-97DF-654464F1FC6C}"/>
    <cellStyle name="Normal 9 2 2 3 2 3 2 3" xfId="12078" xr:uid="{D6ABD76F-AAA7-4493-802E-78063C4C05CA}"/>
    <cellStyle name="Normal 9 2 2 3 2 3 3" xfId="5709" xr:uid="{00000000-0005-0000-0000-0000C71E0000}"/>
    <cellStyle name="Normal 9 2 2 3 2 3 3 2" xfId="14151" xr:uid="{8BAE67A1-E319-4623-9F4F-7BC62C4D2F7E}"/>
    <cellStyle name="Normal 9 2 2 3 2 3 4" xfId="9933" xr:uid="{53F8A807-EBE1-4ED2-80BB-F3400B423532}"/>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2 2 2" xfId="16709" xr:uid="{3F063501-9D48-4297-B8C5-52AFA58CF8A1}"/>
    <cellStyle name="Normal 9 2 2 3 2 4 2 3" xfId="12491" xr:uid="{3EBC8458-DBE8-4F77-BD49-92E894299136}"/>
    <cellStyle name="Normal 9 2 2 3 2 4 3" xfId="6122" xr:uid="{00000000-0005-0000-0000-0000CB1E0000}"/>
    <cellStyle name="Normal 9 2 2 3 2 4 3 2" xfId="14564" xr:uid="{560AC099-9AC9-426D-8705-965F621FB4B4}"/>
    <cellStyle name="Normal 9 2 2 3 2 4 4" xfId="10346" xr:uid="{8D4CF3DD-E78A-46DC-BD6A-623CEF6224AC}"/>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2 2 2" xfId="17122" xr:uid="{6DE12548-66FF-4CA2-9BD3-CAF0EAB40E18}"/>
    <cellStyle name="Normal 9 2 2 3 2 5 2 3" xfId="12904" xr:uid="{92DC605C-354B-4CA3-86C5-BC6166C093A1}"/>
    <cellStyle name="Normal 9 2 2 3 2 5 3" xfId="6535" xr:uid="{00000000-0005-0000-0000-0000CF1E0000}"/>
    <cellStyle name="Normal 9 2 2 3 2 5 3 2" xfId="14977" xr:uid="{BC3461E5-DA52-4374-AD78-805A5B74C207}"/>
    <cellStyle name="Normal 9 2 2 3 2 5 4" xfId="10759" xr:uid="{163E0CFB-9DE8-49B3-8EB3-234F1C2B267C}"/>
    <cellStyle name="Normal 9 2 2 3 2 6" xfId="2664" xr:uid="{00000000-0005-0000-0000-0000D01E0000}"/>
    <cellStyle name="Normal 9 2 2 3 2 6 2" xfId="6948" xr:uid="{00000000-0005-0000-0000-0000D11E0000}"/>
    <cellStyle name="Normal 9 2 2 3 2 6 2 2" xfId="15390" xr:uid="{DA14C5DB-1C4F-4A71-80ED-24FE3AD091BA}"/>
    <cellStyle name="Normal 9 2 2 3 2 6 3" xfId="11172" xr:uid="{0B83D60C-EEC8-48AC-9D77-66D3007CEEEA}"/>
    <cellStyle name="Normal 9 2 2 3 2 7" xfId="4883" xr:uid="{00000000-0005-0000-0000-0000D21E0000}"/>
    <cellStyle name="Normal 9 2 2 3 2 7 2" xfId="13325" xr:uid="{21AA8675-C6DA-4647-AF1D-AC144A4084A6}"/>
    <cellStyle name="Normal 9 2 2 3 2 8" xfId="9107" xr:uid="{D48E39DF-514D-40F1-808B-A74E7C43BED4}"/>
    <cellStyle name="Normal 9 2 2 3 3" xfId="984" xr:uid="{00000000-0005-0000-0000-0000D31E0000}"/>
    <cellStyle name="Normal 9 2 2 3 3 2" xfId="3217" xr:uid="{00000000-0005-0000-0000-0000D41E0000}"/>
    <cellStyle name="Normal 9 2 2 3 3 2 2" xfId="7440" xr:uid="{00000000-0005-0000-0000-0000D51E0000}"/>
    <cellStyle name="Normal 9 2 2 3 3 2 2 2" xfId="15882" xr:uid="{7E2BE726-BB31-4916-8CC7-B2F0885E6621}"/>
    <cellStyle name="Normal 9 2 2 3 3 2 3" xfId="11664" xr:uid="{5141F53C-8014-45FD-8150-A77B327661E2}"/>
    <cellStyle name="Normal 9 2 2 3 3 3" xfId="5295" xr:uid="{00000000-0005-0000-0000-0000D61E0000}"/>
    <cellStyle name="Normal 9 2 2 3 3 3 2" xfId="13737" xr:uid="{10E8F546-CE00-4A9E-85F6-4AFDC1C8BAA6}"/>
    <cellStyle name="Normal 9 2 2 3 3 4" xfId="9519" xr:uid="{40641914-42F7-43DB-A6DF-4B44E249CF63}"/>
    <cellStyle name="Normal 9 2 2 3 4" xfId="1400" xr:uid="{00000000-0005-0000-0000-0000D71E0000}"/>
    <cellStyle name="Normal 9 2 2 3 4 2" xfId="3630" xr:uid="{00000000-0005-0000-0000-0000D81E0000}"/>
    <cellStyle name="Normal 9 2 2 3 4 2 2" xfId="7853" xr:uid="{00000000-0005-0000-0000-0000D91E0000}"/>
    <cellStyle name="Normal 9 2 2 3 4 2 2 2" xfId="16295" xr:uid="{1B297AEF-2B82-4438-9FFA-419FA85B6FB2}"/>
    <cellStyle name="Normal 9 2 2 3 4 2 3" xfId="12077" xr:uid="{F79310C4-4B78-498B-95DF-F0092A09F12E}"/>
    <cellStyle name="Normal 9 2 2 3 4 3" xfId="5708" xr:uid="{00000000-0005-0000-0000-0000DA1E0000}"/>
    <cellStyle name="Normal 9 2 2 3 4 3 2" xfId="14150" xr:uid="{353F7BE9-CD2A-432D-A002-77C961B5D927}"/>
    <cellStyle name="Normal 9 2 2 3 4 4" xfId="9932" xr:uid="{FC38FF01-5ED7-4974-91FB-B8158DDE4516}"/>
    <cellStyle name="Normal 9 2 2 3 5" xfId="1813" xr:uid="{00000000-0005-0000-0000-0000DB1E0000}"/>
    <cellStyle name="Normal 9 2 2 3 5 2" xfId="4043" xr:uid="{00000000-0005-0000-0000-0000DC1E0000}"/>
    <cellStyle name="Normal 9 2 2 3 5 2 2" xfId="8266" xr:uid="{00000000-0005-0000-0000-0000DD1E0000}"/>
    <cellStyle name="Normal 9 2 2 3 5 2 2 2" xfId="16708" xr:uid="{405AAB8A-C32E-4C2C-B6EA-AC8EC26ACC97}"/>
    <cellStyle name="Normal 9 2 2 3 5 2 3" xfId="12490" xr:uid="{9FA8B8CF-4847-4DCB-8970-DF1E963EC93C}"/>
    <cellStyle name="Normal 9 2 2 3 5 3" xfId="6121" xr:uid="{00000000-0005-0000-0000-0000DE1E0000}"/>
    <cellStyle name="Normal 9 2 2 3 5 3 2" xfId="14563" xr:uid="{D9C0EDC9-41D8-4C84-A2E5-F019064B5C75}"/>
    <cellStyle name="Normal 9 2 2 3 5 4" xfId="10345" xr:uid="{BD6C80ED-F73D-479F-AB0A-18DD4041281C}"/>
    <cellStyle name="Normal 9 2 2 3 6" xfId="2227" xr:uid="{00000000-0005-0000-0000-0000DF1E0000}"/>
    <cellStyle name="Normal 9 2 2 3 6 2" xfId="4456" xr:uid="{00000000-0005-0000-0000-0000E01E0000}"/>
    <cellStyle name="Normal 9 2 2 3 6 2 2" xfId="8679" xr:uid="{00000000-0005-0000-0000-0000E11E0000}"/>
    <cellStyle name="Normal 9 2 2 3 6 2 2 2" xfId="17121" xr:uid="{83E481A3-8ACD-4403-8E38-D2C5D70DB2E9}"/>
    <cellStyle name="Normal 9 2 2 3 6 2 3" xfId="12903" xr:uid="{2C0BE96A-5A98-4ED9-859B-2EA93181CB4D}"/>
    <cellStyle name="Normal 9 2 2 3 6 3" xfId="6534" xr:uid="{00000000-0005-0000-0000-0000E21E0000}"/>
    <cellStyle name="Normal 9 2 2 3 6 3 2" xfId="14976" xr:uid="{8D3346D3-0DC9-45CA-ABDF-9619DADD0C5A}"/>
    <cellStyle name="Normal 9 2 2 3 6 4" xfId="10758" xr:uid="{1586DEF4-C4DC-4181-8D9B-35909BB58874}"/>
    <cellStyle name="Normal 9 2 2 3 7" xfId="2663" xr:uid="{00000000-0005-0000-0000-0000E31E0000}"/>
    <cellStyle name="Normal 9 2 2 3 7 2" xfId="6947" xr:uid="{00000000-0005-0000-0000-0000E41E0000}"/>
    <cellStyle name="Normal 9 2 2 3 7 2 2" xfId="15389" xr:uid="{9F828759-DA6E-49F8-B9AD-D96B4060700A}"/>
    <cellStyle name="Normal 9 2 2 3 7 3" xfId="11171" xr:uid="{40206EB5-8A6B-48BE-9699-8FB8C74E452D}"/>
    <cellStyle name="Normal 9 2 2 3 8" xfId="4882" xr:uid="{00000000-0005-0000-0000-0000E51E0000}"/>
    <cellStyle name="Normal 9 2 2 3 8 2" xfId="13324" xr:uid="{A9BF2AEC-9861-4C98-A7FE-17640D4D14F0}"/>
    <cellStyle name="Normal 9 2 2 3 9" xfId="9106" xr:uid="{949A909D-0002-4E43-9F2E-021DBCF42F34}"/>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2 2 2" xfId="15884" xr:uid="{1E318ECD-5047-456C-8515-F83A2A05B5A1}"/>
    <cellStyle name="Normal 9 2 2 4 2 2 3" xfId="11666" xr:uid="{66DBF18E-E99E-43CA-9098-926D25303740}"/>
    <cellStyle name="Normal 9 2 2 4 2 3" xfId="5297" xr:uid="{00000000-0005-0000-0000-0000EA1E0000}"/>
    <cellStyle name="Normal 9 2 2 4 2 3 2" xfId="13739" xr:uid="{85F02F39-C5CC-443C-955D-A53877BFE1DC}"/>
    <cellStyle name="Normal 9 2 2 4 2 4" xfId="9521" xr:uid="{72A5C589-A17F-421C-AB69-4D100A5ACB10}"/>
    <cellStyle name="Normal 9 2 2 4 3" xfId="1402" xr:uid="{00000000-0005-0000-0000-0000EB1E0000}"/>
    <cellStyle name="Normal 9 2 2 4 3 2" xfId="3632" xr:uid="{00000000-0005-0000-0000-0000EC1E0000}"/>
    <cellStyle name="Normal 9 2 2 4 3 2 2" xfId="7855" xr:uid="{00000000-0005-0000-0000-0000ED1E0000}"/>
    <cellStyle name="Normal 9 2 2 4 3 2 2 2" xfId="16297" xr:uid="{D41DA34B-5983-45D1-B1EE-11D7705D2AAE}"/>
    <cellStyle name="Normal 9 2 2 4 3 2 3" xfId="12079" xr:uid="{7DAD4ED8-C066-42B2-8FB4-46A7C1A5F166}"/>
    <cellStyle name="Normal 9 2 2 4 3 3" xfId="5710" xr:uid="{00000000-0005-0000-0000-0000EE1E0000}"/>
    <cellStyle name="Normal 9 2 2 4 3 3 2" xfId="14152" xr:uid="{2DF028D3-5954-4410-97D3-B2A98B2D6AFE}"/>
    <cellStyle name="Normal 9 2 2 4 3 4" xfId="9934" xr:uid="{10ED427C-7422-4863-96D2-52557AF23167}"/>
    <cellStyle name="Normal 9 2 2 4 4" xfId="1815" xr:uid="{00000000-0005-0000-0000-0000EF1E0000}"/>
    <cellStyle name="Normal 9 2 2 4 4 2" xfId="4045" xr:uid="{00000000-0005-0000-0000-0000F01E0000}"/>
    <cellStyle name="Normal 9 2 2 4 4 2 2" xfId="8268" xr:uid="{00000000-0005-0000-0000-0000F11E0000}"/>
    <cellStyle name="Normal 9 2 2 4 4 2 2 2" xfId="16710" xr:uid="{17B2577C-EA3F-41A6-BCBC-21156BA17398}"/>
    <cellStyle name="Normal 9 2 2 4 4 2 3" xfId="12492" xr:uid="{F92F256A-8FFA-4FB1-A625-44ECE025C1DC}"/>
    <cellStyle name="Normal 9 2 2 4 4 3" xfId="6123" xr:uid="{00000000-0005-0000-0000-0000F21E0000}"/>
    <cellStyle name="Normal 9 2 2 4 4 3 2" xfId="14565" xr:uid="{C26E5CA9-DF8F-4A38-A046-379A1856A9D3}"/>
    <cellStyle name="Normal 9 2 2 4 4 4" xfId="10347" xr:uid="{C0D93F95-7AC3-4C99-8B76-FED3FCF701F3}"/>
    <cellStyle name="Normal 9 2 2 4 5" xfId="2229" xr:uid="{00000000-0005-0000-0000-0000F31E0000}"/>
    <cellStyle name="Normal 9 2 2 4 5 2" xfId="4458" xr:uid="{00000000-0005-0000-0000-0000F41E0000}"/>
    <cellStyle name="Normal 9 2 2 4 5 2 2" xfId="8681" xr:uid="{00000000-0005-0000-0000-0000F51E0000}"/>
    <cellStyle name="Normal 9 2 2 4 5 2 2 2" xfId="17123" xr:uid="{85B009BA-FDEC-4125-A26B-7D4A46DA18EF}"/>
    <cellStyle name="Normal 9 2 2 4 5 2 3" xfId="12905" xr:uid="{30BA4903-60D6-49AD-B29E-14235A20F0A6}"/>
    <cellStyle name="Normal 9 2 2 4 5 3" xfId="6536" xr:uid="{00000000-0005-0000-0000-0000F61E0000}"/>
    <cellStyle name="Normal 9 2 2 4 5 3 2" xfId="14978" xr:uid="{17207A84-50EA-4752-9A2C-96FD1940937F}"/>
    <cellStyle name="Normal 9 2 2 4 5 4" xfId="10760" xr:uid="{6DA8EA29-7BB3-4794-8CAB-E12AC3EEAC36}"/>
    <cellStyle name="Normal 9 2 2 4 6" xfId="2665" xr:uid="{00000000-0005-0000-0000-0000F71E0000}"/>
    <cellStyle name="Normal 9 2 2 4 6 2" xfId="6949" xr:uid="{00000000-0005-0000-0000-0000F81E0000}"/>
    <cellStyle name="Normal 9 2 2 4 6 2 2" xfId="15391" xr:uid="{DCF60311-F4DE-49FF-94DE-C2F5F7A7E3B6}"/>
    <cellStyle name="Normal 9 2 2 4 6 3" xfId="11173" xr:uid="{86606764-D992-4E3A-B3D4-220251EEB7E1}"/>
    <cellStyle name="Normal 9 2 2 4 7" xfId="4884" xr:uid="{00000000-0005-0000-0000-0000F91E0000}"/>
    <cellStyle name="Normal 9 2 2 4 7 2" xfId="13326" xr:uid="{BC841B71-4432-4B2B-80D5-D4B31EF42F78}"/>
    <cellStyle name="Normal 9 2 2 4 8" xfId="9108" xr:uid="{855EE975-E543-4267-B08A-F08027F9B6E0}"/>
    <cellStyle name="Normal 9 2 2 5" xfId="979" xr:uid="{00000000-0005-0000-0000-0000FA1E0000}"/>
    <cellStyle name="Normal 9 2 2 5 2" xfId="3212" xr:uid="{00000000-0005-0000-0000-0000FB1E0000}"/>
    <cellStyle name="Normal 9 2 2 5 2 2" xfId="7435" xr:uid="{00000000-0005-0000-0000-0000FC1E0000}"/>
    <cellStyle name="Normal 9 2 2 5 2 2 2" xfId="15877" xr:uid="{66319E8D-198B-4B64-8AAD-1067F59C40DD}"/>
    <cellStyle name="Normal 9 2 2 5 2 3" xfId="11659" xr:uid="{6E719AA2-09B5-48D0-B720-5D37D3F9217B}"/>
    <cellStyle name="Normal 9 2 2 5 3" xfId="5290" xr:uid="{00000000-0005-0000-0000-0000FD1E0000}"/>
    <cellStyle name="Normal 9 2 2 5 3 2" xfId="13732" xr:uid="{40E57808-D845-4D91-8B09-D1B13282915E}"/>
    <cellStyle name="Normal 9 2 2 5 4" xfId="9514" xr:uid="{12C97E49-6EF2-465A-9BF8-E70AE3CE6D6C}"/>
    <cellStyle name="Normal 9 2 2 6" xfId="1395" xr:uid="{00000000-0005-0000-0000-0000FE1E0000}"/>
    <cellStyle name="Normal 9 2 2 6 2" xfId="3625" xr:uid="{00000000-0005-0000-0000-0000FF1E0000}"/>
    <cellStyle name="Normal 9 2 2 6 2 2" xfId="7848" xr:uid="{00000000-0005-0000-0000-0000001F0000}"/>
    <cellStyle name="Normal 9 2 2 6 2 2 2" xfId="16290" xr:uid="{6F56B4F8-715E-482A-8795-8AE172D078E0}"/>
    <cellStyle name="Normal 9 2 2 6 2 3" xfId="12072" xr:uid="{84CC7884-2A93-4DB3-A58E-9034FBBA1100}"/>
    <cellStyle name="Normal 9 2 2 6 3" xfId="5703" xr:uid="{00000000-0005-0000-0000-0000011F0000}"/>
    <cellStyle name="Normal 9 2 2 6 3 2" xfId="14145" xr:uid="{BEDEFE1B-6AC3-4F96-8617-9E2523C239A3}"/>
    <cellStyle name="Normal 9 2 2 6 4" xfId="9927" xr:uid="{D33594FE-C307-43D4-8B72-DC54031A81C1}"/>
    <cellStyle name="Normal 9 2 2 7" xfId="1808" xr:uid="{00000000-0005-0000-0000-0000021F0000}"/>
    <cellStyle name="Normal 9 2 2 7 2" xfId="4038" xr:uid="{00000000-0005-0000-0000-0000031F0000}"/>
    <cellStyle name="Normal 9 2 2 7 2 2" xfId="8261" xr:uid="{00000000-0005-0000-0000-0000041F0000}"/>
    <cellStyle name="Normal 9 2 2 7 2 2 2" xfId="16703" xr:uid="{E1ACFF83-E444-4034-8961-904BC36B0499}"/>
    <cellStyle name="Normal 9 2 2 7 2 3" xfId="12485" xr:uid="{749849C1-5C69-4BBE-8324-9FE692158272}"/>
    <cellStyle name="Normal 9 2 2 7 3" xfId="6116" xr:uid="{00000000-0005-0000-0000-0000051F0000}"/>
    <cellStyle name="Normal 9 2 2 7 3 2" xfId="14558" xr:uid="{C798D614-2CC9-465F-BE9A-554E4791452C}"/>
    <cellStyle name="Normal 9 2 2 7 4" xfId="10340" xr:uid="{1861C271-A319-43A3-ACEF-3187CB440C35}"/>
    <cellStyle name="Normal 9 2 2 8" xfId="2222" xr:uid="{00000000-0005-0000-0000-0000061F0000}"/>
    <cellStyle name="Normal 9 2 2 8 2" xfId="4451" xr:uid="{00000000-0005-0000-0000-0000071F0000}"/>
    <cellStyle name="Normal 9 2 2 8 2 2" xfId="8674" xr:uid="{00000000-0005-0000-0000-0000081F0000}"/>
    <cellStyle name="Normal 9 2 2 8 2 2 2" xfId="17116" xr:uid="{BDA85B8F-0043-4FDD-8FD2-6241F82125CE}"/>
    <cellStyle name="Normal 9 2 2 8 2 3" xfId="12898" xr:uid="{E9FBA2EA-675B-4BD1-B32B-B309E9F3BA67}"/>
    <cellStyle name="Normal 9 2 2 8 3" xfId="6529" xr:uid="{00000000-0005-0000-0000-0000091F0000}"/>
    <cellStyle name="Normal 9 2 2 8 3 2" xfId="14971" xr:uid="{DB18CE9E-85D8-4DE8-A1CF-1143E89CCD2A}"/>
    <cellStyle name="Normal 9 2 2 8 4" xfId="10753" xr:uid="{45DFC5B6-C42D-4FA1-BE94-7D17B89BD378}"/>
    <cellStyle name="Normal 9 2 2 9" xfId="2658" xr:uid="{00000000-0005-0000-0000-00000A1F0000}"/>
    <cellStyle name="Normal 9 2 2 9 2" xfId="6942" xr:uid="{00000000-0005-0000-0000-00000B1F0000}"/>
    <cellStyle name="Normal 9 2 2 9 2 2" xfId="15384" xr:uid="{5865D80D-5758-4345-A628-F001F23B45E8}"/>
    <cellStyle name="Normal 9 2 2 9 3" xfId="11166" xr:uid="{5E338DC0-C6DF-4AC0-ACE0-FF25B128E458}"/>
    <cellStyle name="Normal 9 2 3" xfId="520" xr:uid="{00000000-0005-0000-0000-00000C1F0000}"/>
    <cellStyle name="Normal 9 2 3 10" xfId="9109" xr:uid="{7218B4BD-4FBF-4ECC-ACC6-EF1DAF38B45C}"/>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2 2 2" xfId="15887" xr:uid="{D92CDC02-5F9F-4DF1-80B4-E4F752BE57E8}"/>
    <cellStyle name="Normal 9 2 3 2 2 2 2 3" xfId="11669" xr:uid="{FF0FC956-9518-4666-AE47-DDA6F292F039}"/>
    <cellStyle name="Normal 9 2 3 2 2 2 3" xfId="5300" xr:uid="{00000000-0005-0000-0000-0000121F0000}"/>
    <cellStyle name="Normal 9 2 3 2 2 2 3 2" xfId="13742" xr:uid="{18502443-DA3E-4237-905B-C780E8F52B71}"/>
    <cellStyle name="Normal 9 2 3 2 2 2 4" xfId="9524" xr:uid="{526C4E04-83A5-4395-90AF-F9F54EC3FC77}"/>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2 2 2" xfId="16300" xr:uid="{C161A72F-292C-4592-993A-638FEB57CFD0}"/>
    <cellStyle name="Normal 9 2 3 2 2 3 2 3" xfId="12082" xr:uid="{1689657C-C1BF-4361-BF2A-7B58D9CE3A20}"/>
    <cellStyle name="Normal 9 2 3 2 2 3 3" xfId="5713" xr:uid="{00000000-0005-0000-0000-0000161F0000}"/>
    <cellStyle name="Normal 9 2 3 2 2 3 3 2" xfId="14155" xr:uid="{3DEBCF9D-6DB7-4F9D-94EC-BE94AC5D7BCD}"/>
    <cellStyle name="Normal 9 2 3 2 2 3 4" xfId="9937" xr:uid="{1CD2A2FA-8CF4-4671-95D0-6DDA83D1DA85}"/>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2 2 2" xfId="16713" xr:uid="{6BA322F2-EC25-487F-89A9-97A129EB6807}"/>
    <cellStyle name="Normal 9 2 3 2 2 4 2 3" xfId="12495" xr:uid="{80561316-4C0F-4710-8CCD-68ECE5C09194}"/>
    <cellStyle name="Normal 9 2 3 2 2 4 3" xfId="6126" xr:uid="{00000000-0005-0000-0000-00001A1F0000}"/>
    <cellStyle name="Normal 9 2 3 2 2 4 3 2" xfId="14568" xr:uid="{E0606D46-3C79-45CF-A8D6-2DD01EF3F9A1}"/>
    <cellStyle name="Normal 9 2 3 2 2 4 4" xfId="10350" xr:uid="{F056FFE6-DFDB-4AD0-881E-959030CB3B07}"/>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2 2 2" xfId="17126" xr:uid="{8ACD91B8-940C-4D78-BED2-C66F481087E7}"/>
    <cellStyle name="Normal 9 2 3 2 2 5 2 3" xfId="12908" xr:uid="{021D5B76-EC87-4ACE-87CC-1C48A289C4E5}"/>
    <cellStyle name="Normal 9 2 3 2 2 5 3" xfId="6539" xr:uid="{00000000-0005-0000-0000-00001E1F0000}"/>
    <cellStyle name="Normal 9 2 3 2 2 5 3 2" xfId="14981" xr:uid="{8B76CD23-DE73-4125-A6F0-28AA8C6A87DF}"/>
    <cellStyle name="Normal 9 2 3 2 2 5 4" xfId="10763" xr:uid="{1615602D-1914-41AA-8B04-BA8BF78E2FF1}"/>
    <cellStyle name="Normal 9 2 3 2 2 6" xfId="2668" xr:uid="{00000000-0005-0000-0000-00001F1F0000}"/>
    <cellStyle name="Normal 9 2 3 2 2 6 2" xfId="6952" xr:uid="{00000000-0005-0000-0000-0000201F0000}"/>
    <cellStyle name="Normal 9 2 3 2 2 6 2 2" xfId="15394" xr:uid="{59462E6A-7761-4791-AA1C-8A95EEFD8ECA}"/>
    <cellStyle name="Normal 9 2 3 2 2 6 3" xfId="11176" xr:uid="{C3C0CCCF-33FD-48D2-B60D-6FDCD7EB0AA1}"/>
    <cellStyle name="Normal 9 2 3 2 2 7" xfId="4887" xr:uid="{00000000-0005-0000-0000-0000211F0000}"/>
    <cellStyle name="Normal 9 2 3 2 2 7 2" xfId="13329" xr:uid="{D5CF87CA-0258-42E6-93F1-85E7C7112AA9}"/>
    <cellStyle name="Normal 9 2 3 2 2 8" xfId="9111" xr:uid="{922EE23F-B0B5-440C-BFD7-6EA7B87F27DB}"/>
    <cellStyle name="Normal 9 2 3 2 3" xfId="988" xr:uid="{00000000-0005-0000-0000-0000221F0000}"/>
    <cellStyle name="Normal 9 2 3 2 3 2" xfId="3221" xr:uid="{00000000-0005-0000-0000-0000231F0000}"/>
    <cellStyle name="Normal 9 2 3 2 3 2 2" xfId="7444" xr:uid="{00000000-0005-0000-0000-0000241F0000}"/>
    <cellStyle name="Normal 9 2 3 2 3 2 2 2" xfId="15886" xr:uid="{30E4F25E-592A-443B-B6D4-4454998E232B}"/>
    <cellStyle name="Normal 9 2 3 2 3 2 3" xfId="11668" xr:uid="{04C30C0A-CE59-4162-B3C9-4BCC2E571CE4}"/>
    <cellStyle name="Normal 9 2 3 2 3 3" xfId="5299" xr:uid="{00000000-0005-0000-0000-0000251F0000}"/>
    <cellStyle name="Normal 9 2 3 2 3 3 2" xfId="13741" xr:uid="{DAE9A3B5-B0A1-4CFF-B056-99A96405D0FF}"/>
    <cellStyle name="Normal 9 2 3 2 3 4" xfId="9523" xr:uid="{3130359A-A6CB-4687-8606-3D9CB51D3B30}"/>
    <cellStyle name="Normal 9 2 3 2 4" xfId="1404" xr:uid="{00000000-0005-0000-0000-0000261F0000}"/>
    <cellStyle name="Normal 9 2 3 2 4 2" xfId="3634" xr:uid="{00000000-0005-0000-0000-0000271F0000}"/>
    <cellStyle name="Normal 9 2 3 2 4 2 2" xfId="7857" xr:uid="{00000000-0005-0000-0000-0000281F0000}"/>
    <cellStyle name="Normal 9 2 3 2 4 2 2 2" xfId="16299" xr:uid="{5EFE6295-CA12-4DD7-BCA2-5FDF09294492}"/>
    <cellStyle name="Normal 9 2 3 2 4 2 3" xfId="12081" xr:uid="{9FAB1078-07A0-4B08-B226-A52790BF27D2}"/>
    <cellStyle name="Normal 9 2 3 2 4 3" xfId="5712" xr:uid="{00000000-0005-0000-0000-0000291F0000}"/>
    <cellStyle name="Normal 9 2 3 2 4 3 2" xfId="14154" xr:uid="{7A66876D-4CF5-409C-A236-64D2FFA0E6A3}"/>
    <cellStyle name="Normal 9 2 3 2 4 4" xfId="9936" xr:uid="{31A3495D-862F-40DA-861C-D1D74C56BF35}"/>
    <cellStyle name="Normal 9 2 3 2 5" xfId="1817" xr:uid="{00000000-0005-0000-0000-00002A1F0000}"/>
    <cellStyle name="Normal 9 2 3 2 5 2" xfId="4047" xr:uid="{00000000-0005-0000-0000-00002B1F0000}"/>
    <cellStyle name="Normal 9 2 3 2 5 2 2" xfId="8270" xr:uid="{00000000-0005-0000-0000-00002C1F0000}"/>
    <cellStyle name="Normal 9 2 3 2 5 2 2 2" xfId="16712" xr:uid="{CD03AB93-A636-4AD7-A1CD-C531FB867173}"/>
    <cellStyle name="Normal 9 2 3 2 5 2 3" xfId="12494" xr:uid="{11A9D259-0BCE-49AC-AF1E-DB9C7B86D11B}"/>
    <cellStyle name="Normal 9 2 3 2 5 3" xfId="6125" xr:uid="{00000000-0005-0000-0000-00002D1F0000}"/>
    <cellStyle name="Normal 9 2 3 2 5 3 2" xfId="14567" xr:uid="{EA0DB732-1CC2-4BD5-811B-765D864D0861}"/>
    <cellStyle name="Normal 9 2 3 2 5 4" xfId="10349" xr:uid="{49B1BEDE-2198-46EB-B03A-AF89F1E42A39}"/>
    <cellStyle name="Normal 9 2 3 2 6" xfId="2231" xr:uid="{00000000-0005-0000-0000-00002E1F0000}"/>
    <cellStyle name="Normal 9 2 3 2 6 2" xfId="4460" xr:uid="{00000000-0005-0000-0000-00002F1F0000}"/>
    <cellStyle name="Normal 9 2 3 2 6 2 2" xfId="8683" xr:uid="{00000000-0005-0000-0000-0000301F0000}"/>
    <cellStyle name="Normal 9 2 3 2 6 2 2 2" xfId="17125" xr:uid="{A156B0EC-A8EB-41E7-84D5-DA4CCCA879D4}"/>
    <cellStyle name="Normal 9 2 3 2 6 2 3" xfId="12907" xr:uid="{08341ED9-C96D-474B-995D-AD178F8151F7}"/>
    <cellStyle name="Normal 9 2 3 2 6 3" xfId="6538" xr:uid="{00000000-0005-0000-0000-0000311F0000}"/>
    <cellStyle name="Normal 9 2 3 2 6 3 2" xfId="14980" xr:uid="{81774A6D-D863-41B5-B8FD-85804E066A02}"/>
    <cellStyle name="Normal 9 2 3 2 6 4" xfId="10762" xr:uid="{AFD7BB43-8E71-43AC-AEE9-9C7DD4A333D5}"/>
    <cellStyle name="Normal 9 2 3 2 7" xfId="2667" xr:uid="{00000000-0005-0000-0000-0000321F0000}"/>
    <cellStyle name="Normal 9 2 3 2 7 2" xfId="6951" xr:uid="{00000000-0005-0000-0000-0000331F0000}"/>
    <cellStyle name="Normal 9 2 3 2 7 2 2" xfId="15393" xr:uid="{5898F792-4719-4421-99BA-D18A11867CCA}"/>
    <cellStyle name="Normal 9 2 3 2 7 3" xfId="11175" xr:uid="{90F98AB0-C060-414F-BB02-DEC15569EC2F}"/>
    <cellStyle name="Normal 9 2 3 2 8" xfId="4886" xr:uid="{00000000-0005-0000-0000-0000341F0000}"/>
    <cellStyle name="Normal 9 2 3 2 8 2" xfId="13328" xr:uid="{0A4F0E0D-FB0D-48EA-BE69-EA07A9DA9555}"/>
    <cellStyle name="Normal 9 2 3 2 9" xfId="9110" xr:uid="{BB9E4A2E-2C10-47F1-9E48-56BD74649B0A}"/>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2 2 2" xfId="15888" xr:uid="{399AA501-42D8-49B0-A39B-9C1D617744AE}"/>
    <cellStyle name="Normal 9 2 3 3 2 2 3" xfId="11670" xr:uid="{4491BE04-01C6-4463-B192-8DBD2BBD8474}"/>
    <cellStyle name="Normal 9 2 3 3 2 3" xfId="5301" xr:uid="{00000000-0005-0000-0000-0000391F0000}"/>
    <cellStyle name="Normal 9 2 3 3 2 3 2" xfId="13743" xr:uid="{3299CBBF-C03F-4492-BF4E-8E459C3C5A91}"/>
    <cellStyle name="Normal 9 2 3 3 2 4" xfId="9525" xr:uid="{0AA0DB36-E162-463F-84E2-660A1FEEF001}"/>
    <cellStyle name="Normal 9 2 3 3 3" xfId="1406" xr:uid="{00000000-0005-0000-0000-00003A1F0000}"/>
    <cellStyle name="Normal 9 2 3 3 3 2" xfId="3636" xr:uid="{00000000-0005-0000-0000-00003B1F0000}"/>
    <cellStyle name="Normal 9 2 3 3 3 2 2" xfId="7859" xr:uid="{00000000-0005-0000-0000-00003C1F0000}"/>
    <cellStyle name="Normal 9 2 3 3 3 2 2 2" xfId="16301" xr:uid="{F4CCA208-86E1-426B-ABA2-C51FC306EA11}"/>
    <cellStyle name="Normal 9 2 3 3 3 2 3" xfId="12083" xr:uid="{2C56C000-671A-42DA-AC96-08EAD118FC33}"/>
    <cellStyle name="Normal 9 2 3 3 3 3" xfId="5714" xr:uid="{00000000-0005-0000-0000-00003D1F0000}"/>
    <cellStyle name="Normal 9 2 3 3 3 3 2" xfId="14156" xr:uid="{8A5E6C54-F217-4614-B743-2BF0E272B701}"/>
    <cellStyle name="Normal 9 2 3 3 3 4" xfId="9938" xr:uid="{BF3E518D-7072-4B40-8198-654A72AAE00F}"/>
    <cellStyle name="Normal 9 2 3 3 4" xfId="1819" xr:uid="{00000000-0005-0000-0000-00003E1F0000}"/>
    <cellStyle name="Normal 9 2 3 3 4 2" xfId="4049" xr:uid="{00000000-0005-0000-0000-00003F1F0000}"/>
    <cellStyle name="Normal 9 2 3 3 4 2 2" xfId="8272" xr:uid="{00000000-0005-0000-0000-0000401F0000}"/>
    <cellStyle name="Normal 9 2 3 3 4 2 2 2" xfId="16714" xr:uid="{69C3FEFA-8DB2-4A9E-9A24-C13F0974674D}"/>
    <cellStyle name="Normal 9 2 3 3 4 2 3" xfId="12496" xr:uid="{2A8578DD-5BE9-40FA-B99B-2F4FA8689C70}"/>
    <cellStyle name="Normal 9 2 3 3 4 3" xfId="6127" xr:uid="{00000000-0005-0000-0000-0000411F0000}"/>
    <cellStyle name="Normal 9 2 3 3 4 3 2" xfId="14569" xr:uid="{E9960E07-5C04-41CC-8048-156EE1D83476}"/>
    <cellStyle name="Normal 9 2 3 3 4 4" xfId="10351" xr:uid="{8B8A8BC9-F635-430D-8A11-064FAF479BC5}"/>
    <cellStyle name="Normal 9 2 3 3 5" xfId="2233" xr:uid="{00000000-0005-0000-0000-0000421F0000}"/>
    <cellStyle name="Normal 9 2 3 3 5 2" xfId="4462" xr:uid="{00000000-0005-0000-0000-0000431F0000}"/>
    <cellStyle name="Normal 9 2 3 3 5 2 2" xfId="8685" xr:uid="{00000000-0005-0000-0000-0000441F0000}"/>
    <cellStyle name="Normal 9 2 3 3 5 2 2 2" xfId="17127" xr:uid="{388E5D4C-BAC2-4500-A8E6-2F49A6291AFB}"/>
    <cellStyle name="Normal 9 2 3 3 5 2 3" xfId="12909" xr:uid="{CF787C18-E6F4-4516-9E07-142359F0E3C1}"/>
    <cellStyle name="Normal 9 2 3 3 5 3" xfId="6540" xr:uid="{00000000-0005-0000-0000-0000451F0000}"/>
    <cellStyle name="Normal 9 2 3 3 5 3 2" xfId="14982" xr:uid="{F8CD1812-6DCA-496C-BD22-40A25748A07D}"/>
    <cellStyle name="Normal 9 2 3 3 5 4" xfId="10764" xr:uid="{C7F6ED6D-2EF9-480C-8DD1-FD24C1A420F3}"/>
    <cellStyle name="Normal 9 2 3 3 6" xfId="2669" xr:uid="{00000000-0005-0000-0000-0000461F0000}"/>
    <cellStyle name="Normal 9 2 3 3 6 2" xfId="6953" xr:uid="{00000000-0005-0000-0000-0000471F0000}"/>
    <cellStyle name="Normal 9 2 3 3 6 2 2" xfId="15395" xr:uid="{2F6108A2-F67A-48FB-B7AC-3FFDFF73BE74}"/>
    <cellStyle name="Normal 9 2 3 3 6 3" xfId="11177" xr:uid="{D112EEE2-AD3F-478F-A061-3A6686F28BB6}"/>
    <cellStyle name="Normal 9 2 3 3 7" xfId="4888" xr:uid="{00000000-0005-0000-0000-0000481F0000}"/>
    <cellStyle name="Normal 9 2 3 3 7 2" xfId="13330" xr:uid="{D4A11742-F429-4092-B899-3A4640EC6CA0}"/>
    <cellStyle name="Normal 9 2 3 3 8" xfId="9112" xr:uid="{59F009F3-2525-432E-A9CA-A1995B9DB3F0}"/>
    <cellStyle name="Normal 9 2 3 4" xfId="987" xr:uid="{00000000-0005-0000-0000-0000491F0000}"/>
    <cellStyle name="Normal 9 2 3 4 2" xfId="3220" xr:uid="{00000000-0005-0000-0000-00004A1F0000}"/>
    <cellStyle name="Normal 9 2 3 4 2 2" xfId="7443" xr:uid="{00000000-0005-0000-0000-00004B1F0000}"/>
    <cellStyle name="Normal 9 2 3 4 2 2 2" xfId="15885" xr:uid="{DB3FB078-FBC0-421A-94A6-7D893F8504C3}"/>
    <cellStyle name="Normal 9 2 3 4 2 3" xfId="11667" xr:uid="{9832C0A1-B24D-4B10-8B56-5BE3BACA71DC}"/>
    <cellStyle name="Normal 9 2 3 4 3" xfId="5298" xr:uid="{00000000-0005-0000-0000-00004C1F0000}"/>
    <cellStyle name="Normal 9 2 3 4 3 2" xfId="13740" xr:uid="{84762584-55C7-4630-939F-5370D59F1023}"/>
    <cellStyle name="Normal 9 2 3 4 4" xfId="9522" xr:uid="{9700F321-5059-48DB-8EDD-E3CA9B91281A}"/>
    <cellStyle name="Normal 9 2 3 5" xfId="1403" xr:uid="{00000000-0005-0000-0000-00004D1F0000}"/>
    <cellStyle name="Normal 9 2 3 5 2" xfId="3633" xr:uid="{00000000-0005-0000-0000-00004E1F0000}"/>
    <cellStyle name="Normal 9 2 3 5 2 2" xfId="7856" xr:uid="{00000000-0005-0000-0000-00004F1F0000}"/>
    <cellStyle name="Normal 9 2 3 5 2 2 2" xfId="16298" xr:uid="{998F0316-7F3C-44C7-B7AC-82710F88427C}"/>
    <cellStyle name="Normal 9 2 3 5 2 3" xfId="12080" xr:uid="{A6EC0262-88EC-4123-9B34-F2991F89F4FA}"/>
    <cellStyle name="Normal 9 2 3 5 3" xfId="5711" xr:uid="{00000000-0005-0000-0000-0000501F0000}"/>
    <cellStyle name="Normal 9 2 3 5 3 2" xfId="14153" xr:uid="{1ACF509E-119B-4A8E-873E-093DC79F289D}"/>
    <cellStyle name="Normal 9 2 3 5 4" xfId="9935" xr:uid="{86CDF6B2-687E-40C4-9FF2-DFF6ED5C67FE}"/>
    <cellStyle name="Normal 9 2 3 6" xfId="1816" xr:uid="{00000000-0005-0000-0000-0000511F0000}"/>
    <cellStyle name="Normal 9 2 3 6 2" xfId="4046" xr:uid="{00000000-0005-0000-0000-0000521F0000}"/>
    <cellStyle name="Normal 9 2 3 6 2 2" xfId="8269" xr:uid="{00000000-0005-0000-0000-0000531F0000}"/>
    <cellStyle name="Normal 9 2 3 6 2 2 2" xfId="16711" xr:uid="{C9A7AB68-5694-4917-A621-130E3B6FD779}"/>
    <cellStyle name="Normal 9 2 3 6 2 3" xfId="12493" xr:uid="{558D1FA0-FD3C-403F-A457-3861E76207AE}"/>
    <cellStyle name="Normal 9 2 3 6 3" xfId="6124" xr:uid="{00000000-0005-0000-0000-0000541F0000}"/>
    <cellStyle name="Normal 9 2 3 6 3 2" xfId="14566" xr:uid="{ED08AAB9-5211-4002-89C1-63FE54745B25}"/>
    <cellStyle name="Normal 9 2 3 6 4" xfId="10348" xr:uid="{E6F6D658-8227-4AD5-83E0-C133B682014D}"/>
    <cellStyle name="Normal 9 2 3 7" xfId="2230" xr:uid="{00000000-0005-0000-0000-0000551F0000}"/>
    <cellStyle name="Normal 9 2 3 7 2" xfId="4459" xr:uid="{00000000-0005-0000-0000-0000561F0000}"/>
    <cellStyle name="Normal 9 2 3 7 2 2" xfId="8682" xr:uid="{00000000-0005-0000-0000-0000571F0000}"/>
    <cellStyle name="Normal 9 2 3 7 2 2 2" xfId="17124" xr:uid="{0DB53D30-B58A-48E3-8DA6-AA3D14255D7D}"/>
    <cellStyle name="Normal 9 2 3 7 2 3" xfId="12906" xr:uid="{7B2E8600-C2F6-41BD-8CCA-816B99EF7A56}"/>
    <cellStyle name="Normal 9 2 3 7 3" xfId="6537" xr:uid="{00000000-0005-0000-0000-0000581F0000}"/>
    <cellStyle name="Normal 9 2 3 7 3 2" xfId="14979" xr:uid="{15A77B9D-E434-4510-93B2-D12F5722BF75}"/>
    <cellStyle name="Normal 9 2 3 7 4" xfId="10761" xr:uid="{5D12EAF8-7E64-49A9-9611-C1EC0C8B12B9}"/>
    <cellStyle name="Normal 9 2 3 8" xfId="2666" xr:uid="{00000000-0005-0000-0000-0000591F0000}"/>
    <cellStyle name="Normal 9 2 3 8 2" xfId="6950" xr:uid="{00000000-0005-0000-0000-00005A1F0000}"/>
    <cellStyle name="Normal 9 2 3 8 2 2" xfId="15392" xr:uid="{1EF076DE-AEE5-44FC-93AD-1BA60853FE0F}"/>
    <cellStyle name="Normal 9 2 3 8 3" xfId="11174" xr:uid="{A2FC6EEF-D878-45D8-9D6F-232F29F587E2}"/>
    <cellStyle name="Normal 9 2 3 9" xfId="4885" xr:uid="{00000000-0005-0000-0000-00005B1F0000}"/>
    <cellStyle name="Normal 9 2 3 9 2" xfId="13327" xr:uid="{49DA7E78-9196-4F16-9452-9ECDEEEBD899}"/>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2 2 2" xfId="15890" xr:uid="{D6AC20AF-995B-45C9-B2EE-CB80648E2E2C}"/>
    <cellStyle name="Normal 9 2 4 2 2 2 3" xfId="11672" xr:uid="{FF6F5D34-CE86-4D46-AFFC-0EE13D9AFCAF}"/>
    <cellStyle name="Normal 9 2 4 2 2 3" xfId="5303" xr:uid="{00000000-0005-0000-0000-0000611F0000}"/>
    <cellStyle name="Normal 9 2 4 2 2 3 2" xfId="13745" xr:uid="{822A70D1-86D3-4BA1-A534-3C3C52FCD7BB}"/>
    <cellStyle name="Normal 9 2 4 2 2 4" xfId="9527" xr:uid="{53C5C7BF-86E9-4C49-9888-393710D0D19A}"/>
    <cellStyle name="Normal 9 2 4 2 3" xfId="1408" xr:uid="{00000000-0005-0000-0000-0000621F0000}"/>
    <cellStyle name="Normal 9 2 4 2 3 2" xfId="3638" xr:uid="{00000000-0005-0000-0000-0000631F0000}"/>
    <cellStyle name="Normal 9 2 4 2 3 2 2" xfId="7861" xr:uid="{00000000-0005-0000-0000-0000641F0000}"/>
    <cellStyle name="Normal 9 2 4 2 3 2 2 2" xfId="16303" xr:uid="{D685D67B-A44E-4496-BC9F-F5264F3D9711}"/>
    <cellStyle name="Normal 9 2 4 2 3 2 3" xfId="12085" xr:uid="{B71F72F6-DB94-45D5-A5A9-10DC47D34FBB}"/>
    <cellStyle name="Normal 9 2 4 2 3 3" xfId="5716" xr:uid="{00000000-0005-0000-0000-0000651F0000}"/>
    <cellStyle name="Normal 9 2 4 2 3 3 2" xfId="14158" xr:uid="{276C75D0-5A9A-4887-8F9F-7EB024869506}"/>
    <cellStyle name="Normal 9 2 4 2 3 4" xfId="9940" xr:uid="{9CDE2339-B4B7-47BD-8124-B7B83FDDD830}"/>
    <cellStyle name="Normal 9 2 4 2 4" xfId="1821" xr:uid="{00000000-0005-0000-0000-0000661F0000}"/>
    <cellStyle name="Normal 9 2 4 2 4 2" xfId="4051" xr:uid="{00000000-0005-0000-0000-0000671F0000}"/>
    <cellStyle name="Normal 9 2 4 2 4 2 2" xfId="8274" xr:uid="{00000000-0005-0000-0000-0000681F0000}"/>
    <cellStyle name="Normal 9 2 4 2 4 2 2 2" xfId="16716" xr:uid="{5D52D9C1-7EB7-4DF7-BC3A-59EB8BBAAAE5}"/>
    <cellStyle name="Normal 9 2 4 2 4 2 3" xfId="12498" xr:uid="{ADFF6AE1-633C-4F1F-BCB6-A3AE47B2BF6E}"/>
    <cellStyle name="Normal 9 2 4 2 4 3" xfId="6129" xr:uid="{00000000-0005-0000-0000-0000691F0000}"/>
    <cellStyle name="Normal 9 2 4 2 4 3 2" xfId="14571" xr:uid="{B03C0CA7-99F0-4DB1-B9E0-9CBBEC12ED1A}"/>
    <cellStyle name="Normal 9 2 4 2 4 4" xfId="10353" xr:uid="{51C61735-482A-42C8-A146-7CAB88F15458}"/>
    <cellStyle name="Normal 9 2 4 2 5" xfId="2235" xr:uid="{00000000-0005-0000-0000-00006A1F0000}"/>
    <cellStyle name="Normal 9 2 4 2 5 2" xfId="4464" xr:uid="{00000000-0005-0000-0000-00006B1F0000}"/>
    <cellStyle name="Normal 9 2 4 2 5 2 2" xfId="8687" xr:uid="{00000000-0005-0000-0000-00006C1F0000}"/>
    <cellStyle name="Normal 9 2 4 2 5 2 2 2" xfId="17129" xr:uid="{9C150D33-DA8B-4755-8309-B123941B1194}"/>
    <cellStyle name="Normal 9 2 4 2 5 2 3" xfId="12911" xr:uid="{079192BE-0CE8-43C1-8364-ACB80D5C5FA8}"/>
    <cellStyle name="Normal 9 2 4 2 5 3" xfId="6542" xr:uid="{00000000-0005-0000-0000-00006D1F0000}"/>
    <cellStyle name="Normal 9 2 4 2 5 3 2" xfId="14984" xr:uid="{804114DA-A8EB-497F-8CAB-18EDE78A8B31}"/>
    <cellStyle name="Normal 9 2 4 2 5 4" xfId="10766" xr:uid="{89B1EC65-7631-455B-B964-A2A4AAD14791}"/>
    <cellStyle name="Normal 9 2 4 2 6" xfId="2671" xr:uid="{00000000-0005-0000-0000-00006E1F0000}"/>
    <cellStyle name="Normal 9 2 4 2 6 2" xfId="6955" xr:uid="{00000000-0005-0000-0000-00006F1F0000}"/>
    <cellStyle name="Normal 9 2 4 2 6 2 2" xfId="15397" xr:uid="{BA195095-E997-4857-A1FC-687787BB242C}"/>
    <cellStyle name="Normal 9 2 4 2 6 3" xfId="11179" xr:uid="{79089830-C3FC-432E-BC7F-9EE6E8F7CD72}"/>
    <cellStyle name="Normal 9 2 4 2 7" xfId="4890" xr:uid="{00000000-0005-0000-0000-0000701F0000}"/>
    <cellStyle name="Normal 9 2 4 2 7 2" xfId="13332" xr:uid="{FC024B8E-8B57-4D80-8BF7-34EEE4187C7C}"/>
    <cellStyle name="Normal 9 2 4 2 8" xfId="9114" xr:uid="{C6F982FB-C790-41E7-A5F3-6451C465CEB7}"/>
    <cellStyle name="Normal 9 2 4 3" xfId="991" xr:uid="{00000000-0005-0000-0000-0000711F0000}"/>
    <cellStyle name="Normal 9 2 4 3 2" xfId="3224" xr:uid="{00000000-0005-0000-0000-0000721F0000}"/>
    <cellStyle name="Normal 9 2 4 3 2 2" xfId="7447" xr:uid="{00000000-0005-0000-0000-0000731F0000}"/>
    <cellStyle name="Normal 9 2 4 3 2 2 2" xfId="15889" xr:uid="{CB8E7C8B-1145-4321-A818-BA80DA902B61}"/>
    <cellStyle name="Normal 9 2 4 3 2 3" xfId="11671" xr:uid="{4C37555C-2779-41CC-AEA9-A2B11F4996D3}"/>
    <cellStyle name="Normal 9 2 4 3 3" xfId="5302" xr:uid="{00000000-0005-0000-0000-0000741F0000}"/>
    <cellStyle name="Normal 9 2 4 3 3 2" xfId="13744" xr:uid="{82E5EF12-8812-41AA-9D66-94FA7DDDA97D}"/>
    <cellStyle name="Normal 9 2 4 3 4" xfId="9526" xr:uid="{85274ADC-BEEA-49B2-B829-B146D810614E}"/>
    <cellStyle name="Normal 9 2 4 4" xfId="1407" xr:uid="{00000000-0005-0000-0000-0000751F0000}"/>
    <cellStyle name="Normal 9 2 4 4 2" xfId="3637" xr:uid="{00000000-0005-0000-0000-0000761F0000}"/>
    <cellStyle name="Normal 9 2 4 4 2 2" xfId="7860" xr:uid="{00000000-0005-0000-0000-0000771F0000}"/>
    <cellStyle name="Normal 9 2 4 4 2 2 2" xfId="16302" xr:uid="{A601473A-C7BB-4C0B-86A3-7DF2CC32E64B}"/>
    <cellStyle name="Normal 9 2 4 4 2 3" xfId="12084" xr:uid="{35DEE777-93E0-4827-B952-FC8C00697228}"/>
    <cellStyle name="Normal 9 2 4 4 3" xfId="5715" xr:uid="{00000000-0005-0000-0000-0000781F0000}"/>
    <cellStyle name="Normal 9 2 4 4 3 2" xfId="14157" xr:uid="{93872734-16AF-49F1-B8F5-7C3DBE002611}"/>
    <cellStyle name="Normal 9 2 4 4 4" xfId="9939" xr:uid="{0DFDE249-508E-4601-8C64-F8A4DFEB6CCF}"/>
    <cellStyle name="Normal 9 2 4 5" xfId="1820" xr:uid="{00000000-0005-0000-0000-0000791F0000}"/>
    <cellStyle name="Normal 9 2 4 5 2" xfId="4050" xr:uid="{00000000-0005-0000-0000-00007A1F0000}"/>
    <cellStyle name="Normal 9 2 4 5 2 2" xfId="8273" xr:uid="{00000000-0005-0000-0000-00007B1F0000}"/>
    <cellStyle name="Normal 9 2 4 5 2 2 2" xfId="16715" xr:uid="{C7A5CD52-5625-4B55-A6CC-CBBD018EDB59}"/>
    <cellStyle name="Normal 9 2 4 5 2 3" xfId="12497" xr:uid="{4D6AA09B-BA38-4844-846A-D09919138953}"/>
    <cellStyle name="Normal 9 2 4 5 3" xfId="6128" xr:uid="{00000000-0005-0000-0000-00007C1F0000}"/>
    <cellStyle name="Normal 9 2 4 5 3 2" xfId="14570" xr:uid="{F7C772A4-9836-4F85-B524-8F345FCF4913}"/>
    <cellStyle name="Normal 9 2 4 5 4" xfId="10352" xr:uid="{F186688B-2F1A-483F-B916-68F94A52F48C}"/>
    <cellStyle name="Normal 9 2 4 6" xfId="2234" xr:uid="{00000000-0005-0000-0000-00007D1F0000}"/>
    <cellStyle name="Normal 9 2 4 6 2" xfId="4463" xr:uid="{00000000-0005-0000-0000-00007E1F0000}"/>
    <cellStyle name="Normal 9 2 4 6 2 2" xfId="8686" xr:uid="{00000000-0005-0000-0000-00007F1F0000}"/>
    <cellStyle name="Normal 9 2 4 6 2 2 2" xfId="17128" xr:uid="{6CA9F5A7-A8D3-4FC6-A1AB-927949B4A5F8}"/>
    <cellStyle name="Normal 9 2 4 6 2 3" xfId="12910" xr:uid="{2C17DBDB-6C9D-4BEA-A3E4-B365DA41A026}"/>
    <cellStyle name="Normal 9 2 4 6 3" xfId="6541" xr:uid="{00000000-0005-0000-0000-0000801F0000}"/>
    <cellStyle name="Normal 9 2 4 6 3 2" xfId="14983" xr:uid="{E9FB2E86-032E-4780-BA7B-7FABF7AF9FF7}"/>
    <cellStyle name="Normal 9 2 4 6 4" xfId="10765" xr:uid="{C1CAB0EC-C6A0-4333-941C-C27D6D6486CD}"/>
    <cellStyle name="Normal 9 2 4 7" xfId="2670" xr:uid="{00000000-0005-0000-0000-0000811F0000}"/>
    <cellStyle name="Normal 9 2 4 7 2" xfId="6954" xr:uid="{00000000-0005-0000-0000-0000821F0000}"/>
    <cellStyle name="Normal 9 2 4 7 2 2" xfId="15396" xr:uid="{4A0F416C-0952-4275-80B4-0982F21467C9}"/>
    <cellStyle name="Normal 9 2 4 7 3" xfId="11178" xr:uid="{F922CD01-546C-4C17-AA0B-3D9409887F30}"/>
    <cellStyle name="Normal 9 2 4 8" xfId="4889" xr:uid="{00000000-0005-0000-0000-0000831F0000}"/>
    <cellStyle name="Normal 9 2 4 8 2" xfId="13331" xr:uid="{0494D892-1FE6-413B-BADD-2040B8CA6137}"/>
    <cellStyle name="Normal 9 2 4 9" xfId="9113" xr:uid="{5FD81149-AA64-42DA-B6D8-4E7BAF86331B}"/>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2 2 2" xfId="15891" xr:uid="{8FC0E8B3-2CFA-4BBD-B256-87E4644EE146}"/>
    <cellStyle name="Normal 9 2 5 2 2 3" xfId="11673" xr:uid="{22298760-8476-4911-8742-FB799EECFD24}"/>
    <cellStyle name="Normal 9 2 5 2 3" xfId="5304" xr:uid="{00000000-0005-0000-0000-0000881F0000}"/>
    <cellStyle name="Normal 9 2 5 2 3 2" xfId="13746" xr:uid="{CD0B28B7-ECF8-4211-84AA-6A628F74F504}"/>
    <cellStyle name="Normal 9 2 5 2 4" xfId="9528" xr:uid="{9E8DD1AE-896C-4273-830D-B715C637610D}"/>
    <cellStyle name="Normal 9 2 5 3" xfId="1409" xr:uid="{00000000-0005-0000-0000-0000891F0000}"/>
    <cellStyle name="Normal 9 2 5 3 2" xfId="3639" xr:uid="{00000000-0005-0000-0000-00008A1F0000}"/>
    <cellStyle name="Normal 9 2 5 3 2 2" xfId="7862" xr:uid="{00000000-0005-0000-0000-00008B1F0000}"/>
    <cellStyle name="Normal 9 2 5 3 2 2 2" xfId="16304" xr:uid="{23DEEC4B-2C0C-401D-AC47-0300D43F0548}"/>
    <cellStyle name="Normal 9 2 5 3 2 3" xfId="12086" xr:uid="{BB99C2B2-7DDD-4150-BB56-B69A9E10A1B6}"/>
    <cellStyle name="Normal 9 2 5 3 3" xfId="5717" xr:uid="{00000000-0005-0000-0000-00008C1F0000}"/>
    <cellStyle name="Normal 9 2 5 3 3 2" xfId="14159" xr:uid="{6A52C006-EEDE-4482-9080-CB455D5C881D}"/>
    <cellStyle name="Normal 9 2 5 3 4" xfId="9941" xr:uid="{0B8988C0-055A-4554-B509-250D90055502}"/>
    <cellStyle name="Normal 9 2 5 4" xfId="1822" xr:uid="{00000000-0005-0000-0000-00008D1F0000}"/>
    <cellStyle name="Normal 9 2 5 4 2" xfId="4052" xr:uid="{00000000-0005-0000-0000-00008E1F0000}"/>
    <cellStyle name="Normal 9 2 5 4 2 2" xfId="8275" xr:uid="{00000000-0005-0000-0000-00008F1F0000}"/>
    <cellStyle name="Normal 9 2 5 4 2 2 2" xfId="16717" xr:uid="{BF97DDA0-BB93-45D9-8C81-2C93ABC4DD51}"/>
    <cellStyle name="Normal 9 2 5 4 2 3" xfId="12499" xr:uid="{18470899-4C47-4DDD-9909-DE6B37300648}"/>
    <cellStyle name="Normal 9 2 5 4 3" xfId="6130" xr:uid="{00000000-0005-0000-0000-0000901F0000}"/>
    <cellStyle name="Normal 9 2 5 4 3 2" xfId="14572" xr:uid="{B12C4D5C-666A-4E21-A788-51374E024FFB}"/>
    <cellStyle name="Normal 9 2 5 4 4" xfId="10354" xr:uid="{6802CF04-E6C7-4A4C-88D6-1E40BCF00029}"/>
    <cellStyle name="Normal 9 2 5 5" xfId="2236" xr:uid="{00000000-0005-0000-0000-0000911F0000}"/>
    <cellStyle name="Normal 9 2 5 5 2" xfId="4465" xr:uid="{00000000-0005-0000-0000-0000921F0000}"/>
    <cellStyle name="Normal 9 2 5 5 2 2" xfId="8688" xr:uid="{00000000-0005-0000-0000-0000931F0000}"/>
    <cellStyle name="Normal 9 2 5 5 2 2 2" xfId="17130" xr:uid="{9CB451EA-4FBB-4DC9-901B-1A1AA4B7E59D}"/>
    <cellStyle name="Normal 9 2 5 5 2 3" xfId="12912" xr:uid="{AD9D1A80-AA9C-4B4E-9593-210CCAD32B7B}"/>
    <cellStyle name="Normal 9 2 5 5 3" xfId="6543" xr:uid="{00000000-0005-0000-0000-0000941F0000}"/>
    <cellStyle name="Normal 9 2 5 5 3 2" xfId="14985" xr:uid="{5AA54462-A5B5-4070-B56F-B7956B50CD93}"/>
    <cellStyle name="Normal 9 2 5 5 4" xfId="10767" xr:uid="{B6406997-1219-41EB-8946-C42C4CC5832A}"/>
    <cellStyle name="Normal 9 2 5 6" xfId="2672" xr:uid="{00000000-0005-0000-0000-0000951F0000}"/>
    <cellStyle name="Normal 9 2 5 6 2" xfId="6956" xr:uid="{00000000-0005-0000-0000-0000961F0000}"/>
    <cellStyle name="Normal 9 2 5 6 2 2" xfId="15398" xr:uid="{9136E43B-2FCD-4225-BA62-1E437687C68C}"/>
    <cellStyle name="Normal 9 2 5 6 3" xfId="11180" xr:uid="{6C98F1B3-69E4-4F39-895F-EEAFFA011F84}"/>
    <cellStyle name="Normal 9 2 5 7" xfId="4891" xr:uid="{00000000-0005-0000-0000-0000971F0000}"/>
    <cellStyle name="Normal 9 2 5 7 2" xfId="13333" xr:uid="{69E86B32-5293-4818-A70A-97E1997C2C90}"/>
    <cellStyle name="Normal 9 2 5 8" xfId="9115" xr:uid="{8A65F8DE-C1C2-4BE8-9991-D9DC5804D528}"/>
    <cellStyle name="Normal 9 2 6" xfId="978" xr:uid="{00000000-0005-0000-0000-0000981F0000}"/>
    <cellStyle name="Normal 9 2 6 2" xfId="3211" xr:uid="{00000000-0005-0000-0000-0000991F0000}"/>
    <cellStyle name="Normal 9 2 6 2 2" xfId="7434" xr:uid="{00000000-0005-0000-0000-00009A1F0000}"/>
    <cellStyle name="Normal 9 2 6 2 2 2" xfId="15876" xr:uid="{AF05409C-27D6-497B-8141-E55489903FA0}"/>
    <cellStyle name="Normal 9 2 6 2 3" xfId="11658" xr:uid="{1AFD19A9-7C44-43DD-954A-7FABCA5077D8}"/>
    <cellStyle name="Normal 9 2 6 3" xfId="5289" xr:uid="{00000000-0005-0000-0000-00009B1F0000}"/>
    <cellStyle name="Normal 9 2 6 3 2" xfId="13731" xr:uid="{90F87A37-5308-4546-8615-F9AAA69C52E4}"/>
    <cellStyle name="Normal 9 2 6 4" xfId="9513" xr:uid="{D56B08C0-E1AE-4587-8D30-324D3292EAD5}"/>
    <cellStyle name="Normal 9 2 7" xfId="1394" xr:uid="{00000000-0005-0000-0000-00009C1F0000}"/>
    <cellStyle name="Normal 9 2 7 2" xfId="3624" xr:uid="{00000000-0005-0000-0000-00009D1F0000}"/>
    <cellStyle name="Normal 9 2 7 2 2" xfId="7847" xr:uid="{00000000-0005-0000-0000-00009E1F0000}"/>
    <cellStyle name="Normal 9 2 7 2 2 2" xfId="16289" xr:uid="{66AFC7DB-9E86-45FA-9D61-8967F5F871D9}"/>
    <cellStyle name="Normal 9 2 7 2 3" xfId="12071" xr:uid="{E5B161A6-FC5C-4B7C-82D8-B7ACC02DBFE6}"/>
    <cellStyle name="Normal 9 2 7 3" xfId="5702" xr:uid="{00000000-0005-0000-0000-00009F1F0000}"/>
    <cellStyle name="Normal 9 2 7 3 2" xfId="14144" xr:uid="{160F8346-1547-4252-9036-23DA33A1C62E}"/>
    <cellStyle name="Normal 9 2 7 4" xfId="9926" xr:uid="{8DF4B96C-2895-4E69-A200-546F5D51D6A7}"/>
    <cellStyle name="Normal 9 2 8" xfId="1807" xr:uid="{00000000-0005-0000-0000-0000A01F0000}"/>
    <cellStyle name="Normal 9 2 8 2" xfId="4037" xr:uid="{00000000-0005-0000-0000-0000A11F0000}"/>
    <cellStyle name="Normal 9 2 8 2 2" xfId="8260" xr:uid="{00000000-0005-0000-0000-0000A21F0000}"/>
    <cellStyle name="Normal 9 2 8 2 2 2" xfId="16702" xr:uid="{D22CE8C1-31EC-4917-83F3-29CBBFF2B169}"/>
    <cellStyle name="Normal 9 2 8 2 3" xfId="12484" xr:uid="{8063DD2D-5C89-4880-8D98-9AC1BD49DDC0}"/>
    <cellStyle name="Normal 9 2 8 3" xfId="6115" xr:uid="{00000000-0005-0000-0000-0000A31F0000}"/>
    <cellStyle name="Normal 9 2 8 3 2" xfId="14557" xr:uid="{401AAF18-08F7-45C6-A000-48E2961A0EED}"/>
    <cellStyle name="Normal 9 2 8 4" xfId="10339" xr:uid="{4926404A-3E41-4715-9C4E-C1281B8772E0}"/>
    <cellStyle name="Normal 9 2 9" xfId="2221" xr:uid="{00000000-0005-0000-0000-0000A41F0000}"/>
    <cellStyle name="Normal 9 2 9 2" xfId="4450" xr:uid="{00000000-0005-0000-0000-0000A51F0000}"/>
    <cellStyle name="Normal 9 2 9 2 2" xfId="8673" xr:uid="{00000000-0005-0000-0000-0000A61F0000}"/>
    <cellStyle name="Normal 9 2 9 2 2 2" xfId="17115" xr:uid="{31373E3D-B916-4B25-86FC-E2C5C55391A1}"/>
    <cellStyle name="Normal 9 2 9 2 3" xfId="12897" xr:uid="{7323CAAB-86D7-4C1B-8482-77E30FB8DC69}"/>
    <cellStyle name="Normal 9 2 9 3" xfId="6528" xr:uid="{00000000-0005-0000-0000-0000A71F0000}"/>
    <cellStyle name="Normal 9 2 9 3 2" xfId="14970" xr:uid="{C22BBD5F-E264-4D8A-A525-ECCA665AE255}"/>
    <cellStyle name="Normal 9 2 9 4" xfId="10752" xr:uid="{42C35835-0F54-4B37-867A-9EC27876F01D}"/>
    <cellStyle name="Normal 9 3" xfId="527" xr:uid="{00000000-0005-0000-0000-0000A81F0000}"/>
    <cellStyle name="Normal 9 3 10" xfId="4892" xr:uid="{00000000-0005-0000-0000-0000A91F0000}"/>
    <cellStyle name="Normal 9 3 10 2" xfId="13334" xr:uid="{67FEE5E2-DB79-4789-A95D-AC12CB598139}"/>
    <cellStyle name="Normal 9 3 11" xfId="9116" xr:uid="{96A36D9F-B3FC-48B2-9783-73652652B22F}"/>
    <cellStyle name="Normal 9 3 2" xfId="528" xr:uid="{00000000-0005-0000-0000-0000AA1F0000}"/>
    <cellStyle name="Normal 9 3 2 10" xfId="9117" xr:uid="{4C29471C-84AA-488C-8DCA-162A30B13D62}"/>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2 2 2" xfId="15895" xr:uid="{452F36F6-B963-44E5-B192-E00093A3FEA9}"/>
    <cellStyle name="Normal 9 3 2 2 2 2 2 3" xfId="11677" xr:uid="{8732E7CC-5072-43A1-B6D1-27BE7D17D8DB}"/>
    <cellStyle name="Normal 9 3 2 2 2 2 3" xfId="5308" xr:uid="{00000000-0005-0000-0000-0000B01F0000}"/>
    <cellStyle name="Normal 9 3 2 2 2 2 3 2" xfId="13750" xr:uid="{753A321B-2681-4A45-BDB1-00486F472BCE}"/>
    <cellStyle name="Normal 9 3 2 2 2 2 4" xfId="9532" xr:uid="{417CB16E-594E-4F48-A6C2-5C19B8FD6463}"/>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2 2 2" xfId="16308" xr:uid="{1309FBA1-7B61-49B0-998E-E8705065EB36}"/>
    <cellStyle name="Normal 9 3 2 2 2 3 2 3" xfId="12090" xr:uid="{E8DC9373-3CEB-46F1-8EF5-0C3826DEA99E}"/>
    <cellStyle name="Normal 9 3 2 2 2 3 3" xfId="5721" xr:uid="{00000000-0005-0000-0000-0000B41F0000}"/>
    <cellStyle name="Normal 9 3 2 2 2 3 3 2" xfId="14163" xr:uid="{9B0E5703-FD6A-4716-A42A-48C62D355881}"/>
    <cellStyle name="Normal 9 3 2 2 2 3 4" xfId="9945" xr:uid="{3579E00B-9C72-4A2D-B477-289B06976928}"/>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2 2 2" xfId="16721" xr:uid="{1F9355B6-C687-46FE-B808-84925C51ACB1}"/>
    <cellStyle name="Normal 9 3 2 2 2 4 2 3" xfId="12503" xr:uid="{B8CEBC4A-9671-4323-AD33-0DA8C05D1B16}"/>
    <cellStyle name="Normal 9 3 2 2 2 4 3" xfId="6134" xr:uid="{00000000-0005-0000-0000-0000B81F0000}"/>
    <cellStyle name="Normal 9 3 2 2 2 4 3 2" xfId="14576" xr:uid="{E1799434-CE13-4BED-B450-E36F06D00C63}"/>
    <cellStyle name="Normal 9 3 2 2 2 4 4" xfId="10358" xr:uid="{5F745123-0495-4162-93EC-5CDFD79E28D9}"/>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2 2 2" xfId="17134" xr:uid="{F3DE2269-AD60-4F00-9BB3-55E52DB17C40}"/>
    <cellStyle name="Normal 9 3 2 2 2 5 2 3" xfId="12916" xr:uid="{7C1BC04C-09D2-44F6-8D0F-6C0C63B104C6}"/>
    <cellStyle name="Normal 9 3 2 2 2 5 3" xfId="6547" xr:uid="{00000000-0005-0000-0000-0000BC1F0000}"/>
    <cellStyle name="Normal 9 3 2 2 2 5 3 2" xfId="14989" xr:uid="{931D3B0A-C335-4830-9DF8-6A3FF2BBF95C}"/>
    <cellStyle name="Normal 9 3 2 2 2 5 4" xfId="10771" xr:uid="{4AD25E82-20AE-4E16-8755-CF784E1F397F}"/>
    <cellStyle name="Normal 9 3 2 2 2 6" xfId="2676" xr:uid="{00000000-0005-0000-0000-0000BD1F0000}"/>
    <cellStyle name="Normal 9 3 2 2 2 6 2" xfId="6960" xr:uid="{00000000-0005-0000-0000-0000BE1F0000}"/>
    <cellStyle name="Normal 9 3 2 2 2 6 2 2" xfId="15402" xr:uid="{51A46C8D-C495-4FFB-A59E-CACAF762341C}"/>
    <cellStyle name="Normal 9 3 2 2 2 6 3" xfId="11184" xr:uid="{4B3816A2-2B2A-4271-83C6-57559F23DB52}"/>
    <cellStyle name="Normal 9 3 2 2 2 7" xfId="4895" xr:uid="{00000000-0005-0000-0000-0000BF1F0000}"/>
    <cellStyle name="Normal 9 3 2 2 2 7 2" xfId="13337" xr:uid="{C925F339-2D40-4099-954B-7DF412AA80A9}"/>
    <cellStyle name="Normal 9 3 2 2 2 8" xfId="9119" xr:uid="{3668865B-A638-4B6B-BDD2-D022C8AED47E}"/>
    <cellStyle name="Normal 9 3 2 2 3" xfId="996" xr:uid="{00000000-0005-0000-0000-0000C01F0000}"/>
    <cellStyle name="Normal 9 3 2 2 3 2" xfId="3229" xr:uid="{00000000-0005-0000-0000-0000C11F0000}"/>
    <cellStyle name="Normal 9 3 2 2 3 2 2" xfId="7452" xr:uid="{00000000-0005-0000-0000-0000C21F0000}"/>
    <cellStyle name="Normal 9 3 2 2 3 2 2 2" xfId="15894" xr:uid="{27D0B2F6-8F75-4FA5-9099-45F7A95620B3}"/>
    <cellStyle name="Normal 9 3 2 2 3 2 3" xfId="11676" xr:uid="{4A5241EC-2811-4D24-B953-B4F7F75D05C1}"/>
    <cellStyle name="Normal 9 3 2 2 3 3" xfId="5307" xr:uid="{00000000-0005-0000-0000-0000C31F0000}"/>
    <cellStyle name="Normal 9 3 2 2 3 3 2" xfId="13749" xr:uid="{F7F0A542-3490-49DC-BA07-1E9BBA3EB2CE}"/>
    <cellStyle name="Normal 9 3 2 2 3 4" xfId="9531" xr:uid="{B0E0B70D-6BDA-4A9E-BCE3-8537E28F77E8}"/>
    <cellStyle name="Normal 9 3 2 2 4" xfId="1412" xr:uid="{00000000-0005-0000-0000-0000C41F0000}"/>
    <cellStyle name="Normal 9 3 2 2 4 2" xfId="3642" xr:uid="{00000000-0005-0000-0000-0000C51F0000}"/>
    <cellStyle name="Normal 9 3 2 2 4 2 2" xfId="7865" xr:uid="{00000000-0005-0000-0000-0000C61F0000}"/>
    <cellStyle name="Normal 9 3 2 2 4 2 2 2" xfId="16307" xr:uid="{69A6B346-1515-44B2-8964-183085DCD087}"/>
    <cellStyle name="Normal 9 3 2 2 4 2 3" xfId="12089" xr:uid="{760890CA-C99C-42F4-907E-C57C8DBAEAAD}"/>
    <cellStyle name="Normal 9 3 2 2 4 3" xfId="5720" xr:uid="{00000000-0005-0000-0000-0000C71F0000}"/>
    <cellStyle name="Normal 9 3 2 2 4 3 2" xfId="14162" xr:uid="{8DCC0DB3-9283-4812-BA21-3DE080E74E20}"/>
    <cellStyle name="Normal 9 3 2 2 4 4" xfId="9944" xr:uid="{DF7B2CE3-CF79-450E-B43D-E23ED2BFD42D}"/>
    <cellStyle name="Normal 9 3 2 2 5" xfId="1825" xr:uid="{00000000-0005-0000-0000-0000C81F0000}"/>
    <cellStyle name="Normal 9 3 2 2 5 2" xfId="4055" xr:uid="{00000000-0005-0000-0000-0000C91F0000}"/>
    <cellStyle name="Normal 9 3 2 2 5 2 2" xfId="8278" xr:uid="{00000000-0005-0000-0000-0000CA1F0000}"/>
    <cellStyle name="Normal 9 3 2 2 5 2 2 2" xfId="16720" xr:uid="{BCE50B5F-8710-41F9-A1B0-AD5E437C66EA}"/>
    <cellStyle name="Normal 9 3 2 2 5 2 3" xfId="12502" xr:uid="{A7671A16-846C-47B1-B32B-7DB3C4121EE8}"/>
    <cellStyle name="Normal 9 3 2 2 5 3" xfId="6133" xr:uid="{00000000-0005-0000-0000-0000CB1F0000}"/>
    <cellStyle name="Normal 9 3 2 2 5 3 2" xfId="14575" xr:uid="{DC78797F-2332-48BB-AC95-B871072FC818}"/>
    <cellStyle name="Normal 9 3 2 2 5 4" xfId="10357" xr:uid="{00C2B339-4B31-4F7A-A3CD-7A14F03D3513}"/>
    <cellStyle name="Normal 9 3 2 2 6" xfId="2239" xr:uid="{00000000-0005-0000-0000-0000CC1F0000}"/>
    <cellStyle name="Normal 9 3 2 2 6 2" xfId="4468" xr:uid="{00000000-0005-0000-0000-0000CD1F0000}"/>
    <cellStyle name="Normal 9 3 2 2 6 2 2" xfId="8691" xr:uid="{00000000-0005-0000-0000-0000CE1F0000}"/>
    <cellStyle name="Normal 9 3 2 2 6 2 2 2" xfId="17133" xr:uid="{983DB946-D833-4090-A1BC-5FE981DDD944}"/>
    <cellStyle name="Normal 9 3 2 2 6 2 3" xfId="12915" xr:uid="{41C8E913-EBCD-45FF-8424-02E3B9C7AB82}"/>
    <cellStyle name="Normal 9 3 2 2 6 3" xfId="6546" xr:uid="{00000000-0005-0000-0000-0000CF1F0000}"/>
    <cellStyle name="Normal 9 3 2 2 6 3 2" xfId="14988" xr:uid="{2B947D5D-2F42-4549-9541-E434CCCDED7E}"/>
    <cellStyle name="Normal 9 3 2 2 6 4" xfId="10770" xr:uid="{4CEC494B-2274-47ED-B957-4097DD63D5F5}"/>
    <cellStyle name="Normal 9 3 2 2 7" xfId="2675" xr:uid="{00000000-0005-0000-0000-0000D01F0000}"/>
    <cellStyle name="Normal 9 3 2 2 7 2" xfId="6959" xr:uid="{00000000-0005-0000-0000-0000D11F0000}"/>
    <cellStyle name="Normal 9 3 2 2 7 2 2" xfId="15401" xr:uid="{4D2CF1A8-3FEC-48BC-B8F2-95C119121ADA}"/>
    <cellStyle name="Normal 9 3 2 2 7 3" xfId="11183" xr:uid="{78F9ED85-A44B-4FEE-A5C8-30AC42F0651D}"/>
    <cellStyle name="Normal 9 3 2 2 8" xfId="4894" xr:uid="{00000000-0005-0000-0000-0000D21F0000}"/>
    <cellStyle name="Normal 9 3 2 2 8 2" xfId="13336" xr:uid="{D4F98762-E1B6-43EF-9081-ED801E6F71FE}"/>
    <cellStyle name="Normal 9 3 2 2 9" xfId="9118" xr:uid="{649EE2D6-832D-4CC8-8856-93A4C49E5C6D}"/>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2 2 2" xfId="15896" xr:uid="{2C12CD39-23E1-470C-B739-0C607C4D5961}"/>
    <cellStyle name="Normal 9 3 2 3 2 2 3" xfId="11678" xr:uid="{12A208AE-E4D8-4CE4-86EA-CCC1B4A6543B}"/>
    <cellStyle name="Normal 9 3 2 3 2 3" xfId="5309" xr:uid="{00000000-0005-0000-0000-0000D71F0000}"/>
    <cellStyle name="Normal 9 3 2 3 2 3 2" xfId="13751" xr:uid="{B9D25C77-8062-4E62-A203-96F8B80874EB}"/>
    <cellStyle name="Normal 9 3 2 3 2 4" xfId="9533" xr:uid="{FAFAB7A5-383D-429F-A71D-36524D39D0DD}"/>
    <cellStyle name="Normal 9 3 2 3 3" xfId="1414" xr:uid="{00000000-0005-0000-0000-0000D81F0000}"/>
    <cellStyle name="Normal 9 3 2 3 3 2" xfId="3644" xr:uid="{00000000-0005-0000-0000-0000D91F0000}"/>
    <cellStyle name="Normal 9 3 2 3 3 2 2" xfId="7867" xr:uid="{00000000-0005-0000-0000-0000DA1F0000}"/>
    <cellStyle name="Normal 9 3 2 3 3 2 2 2" xfId="16309" xr:uid="{4AF5639F-958D-4274-8ACA-F05318238E5F}"/>
    <cellStyle name="Normal 9 3 2 3 3 2 3" xfId="12091" xr:uid="{D37DEC73-4A80-47F0-8C01-C0D40A03A079}"/>
    <cellStyle name="Normal 9 3 2 3 3 3" xfId="5722" xr:uid="{00000000-0005-0000-0000-0000DB1F0000}"/>
    <cellStyle name="Normal 9 3 2 3 3 3 2" xfId="14164" xr:uid="{F85CFDEA-350C-4598-8BA4-E73FA8065DF9}"/>
    <cellStyle name="Normal 9 3 2 3 3 4" xfId="9946" xr:uid="{74AE78F5-6D3A-497D-A991-714A91378953}"/>
    <cellStyle name="Normal 9 3 2 3 4" xfId="1827" xr:uid="{00000000-0005-0000-0000-0000DC1F0000}"/>
    <cellStyle name="Normal 9 3 2 3 4 2" xfId="4057" xr:uid="{00000000-0005-0000-0000-0000DD1F0000}"/>
    <cellStyle name="Normal 9 3 2 3 4 2 2" xfId="8280" xr:uid="{00000000-0005-0000-0000-0000DE1F0000}"/>
    <cellStyle name="Normal 9 3 2 3 4 2 2 2" xfId="16722" xr:uid="{2B482EEB-48E1-4563-AD33-1A83643C7A39}"/>
    <cellStyle name="Normal 9 3 2 3 4 2 3" xfId="12504" xr:uid="{F4829FC0-F016-4BC8-87D5-79C87AB2897E}"/>
    <cellStyle name="Normal 9 3 2 3 4 3" xfId="6135" xr:uid="{00000000-0005-0000-0000-0000DF1F0000}"/>
    <cellStyle name="Normal 9 3 2 3 4 3 2" xfId="14577" xr:uid="{7A45CD82-0072-4B59-BCA3-874151E0828A}"/>
    <cellStyle name="Normal 9 3 2 3 4 4" xfId="10359" xr:uid="{D945168F-5925-463E-9B7A-9DBCDE563F6E}"/>
    <cellStyle name="Normal 9 3 2 3 5" xfId="2241" xr:uid="{00000000-0005-0000-0000-0000E01F0000}"/>
    <cellStyle name="Normal 9 3 2 3 5 2" xfId="4470" xr:uid="{00000000-0005-0000-0000-0000E11F0000}"/>
    <cellStyle name="Normal 9 3 2 3 5 2 2" xfId="8693" xr:uid="{00000000-0005-0000-0000-0000E21F0000}"/>
    <cellStyle name="Normal 9 3 2 3 5 2 2 2" xfId="17135" xr:uid="{F6F2F59A-D630-4576-9382-AA6D51490D33}"/>
    <cellStyle name="Normal 9 3 2 3 5 2 3" xfId="12917" xr:uid="{D5178AFC-091C-4C8C-92CC-39608BA25330}"/>
    <cellStyle name="Normal 9 3 2 3 5 3" xfId="6548" xr:uid="{00000000-0005-0000-0000-0000E31F0000}"/>
    <cellStyle name="Normal 9 3 2 3 5 3 2" xfId="14990" xr:uid="{258499B3-B9FE-41FE-9B5C-945B648371A9}"/>
    <cellStyle name="Normal 9 3 2 3 5 4" xfId="10772" xr:uid="{FB27764E-B2C1-4309-9C1E-263A41105678}"/>
    <cellStyle name="Normal 9 3 2 3 6" xfId="2677" xr:uid="{00000000-0005-0000-0000-0000E41F0000}"/>
    <cellStyle name="Normal 9 3 2 3 6 2" xfId="6961" xr:uid="{00000000-0005-0000-0000-0000E51F0000}"/>
    <cellStyle name="Normal 9 3 2 3 6 2 2" xfId="15403" xr:uid="{8249130A-7043-4EF4-895A-A85C91EA197F}"/>
    <cellStyle name="Normal 9 3 2 3 6 3" xfId="11185" xr:uid="{F7F033B5-0766-4A1E-AD18-8A5400035D06}"/>
    <cellStyle name="Normal 9 3 2 3 7" xfId="4896" xr:uid="{00000000-0005-0000-0000-0000E61F0000}"/>
    <cellStyle name="Normal 9 3 2 3 7 2" xfId="13338" xr:uid="{71B7D035-4C5A-4DA8-8F53-751D33C30B49}"/>
    <cellStyle name="Normal 9 3 2 3 8" xfId="9120" xr:uid="{3270B74D-5E2C-439C-985A-A82419C4566E}"/>
    <cellStyle name="Normal 9 3 2 4" xfId="995" xr:uid="{00000000-0005-0000-0000-0000E71F0000}"/>
    <cellStyle name="Normal 9 3 2 4 2" xfId="3228" xr:uid="{00000000-0005-0000-0000-0000E81F0000}"/>
    <cellStyle name="Normal 9 3 2 4 2 2" xfId="7451" xr:uid="{00000000-0005-0000-0000-0000E91F0000}"/>
    <cellStyle name="Normal 9 3 2 4 2 2 2" xfId="15893" xr:uid="{89BED910-FC1B-422A-A087-21373B266DED}"/>
    <cellStyle name="Normal 9 3 2 4 2 3" xfId="11675" xr:uid="{BABB8AC1-4685-435E-98F7-FB389F64088C}"/>
    <cellStyle name="Normal 9 3 2 4 3" xfId="5306" xr:uid="{00000000-0005-0000-0000-0000EA1F0000}"/>
    <cellStyle name="Normal 9 3 2 4 3 2" xfId="13748" xr:uid="{38C811AC-A36D-4034-8EA3-BC8044A9DA84}"/>
    <cellStyle name="Normal 9 3 2 4 4" xfId="9530" xr:uid="{E15F62EC-3792-49FC-BE2D-CFD6E685C26A}"/>
    <cellStyle name="Normal 9 3 2 5" xfId="1411" xr:uid="{00000000-0005-0000-0000-0000EB1F0000}"/>
    <cellStyle name="Normal 9 3 2 5 2" xfId="3641" xr:uid="{00000000-0005-0000-0000-0000EC1F0000}"/>
    <cellStyle name="Normal 9 3 2 5 2 2" xfId="7864" xr:uid="{00000000-0005-0000-0000-0000ED1F0000}"/>
    <cellStyle name="Normal 9 3 2 5 2 2 2" xfId="16306" xr:uid="{BAC11C16-C894-43BD-BD3D-89C42946D251}"/>
    <cellStyle name="Normal 9 3 2 5 2 3" xfId="12088" xr:uid="{430B02D8-4965-4D41-A2CE-030949686E30}"/>
    <cellStyle name="Normal 9 3 2 5 3" xfId="5719" xr:uid="{00000000-0005-0000-0000-0000EE1F0000}"/>
    <cellStyle name="Normal 9 3 2 5 3 2" xfId="14161" xr:uid="{15633CFA-73A1-4FE3-A9CB-C647BE9329D2}"/>
    <cellStyle name="Normal 9 3 2 5 4" xfId="9943" xr:uid="{F79A19F8-56EF-431C-B0E8-F2AF3C62027C}"/>
    <cellStyle name="Normal 9 3 2 6" xfId="1824" xr:uid="{00000000-0005-0000-0000-0000EF1F0000}"/>
    <cellStyle name="Normal 9 3 2 6 2" xfId="4054" xr:uid="{00000000-0005-0000-0000-0000F01F0000}"/>
    <cellStyle name="Normal 9 3 2 6 2 2" xfId="8277" xr:uid="{00000000-0005-0000-0000-0000F11F0000}"/>
    <cellStyle name="Normal 9 3 2 6 2 2 2" xfId="16719" xr:uid="{A04964C6-EC61-4BE5-B554-E532FB124C1F}"/>
    <cellStyle name="Normal 9 3 2 6 2 3" xfId="12501" xr:uid="{F08BB596-7DFC-4BF4-BB2B-1FF493DABB3A}"/>
    <cellStyle name="Normal 9 3 2 6 3" xfId="6132" xr:uid="{00000000-0005-0000-0000-0000F21F0000}"/>
    <cellStyle name="Normal 9 3 2 6 3 2" xfId="14574" xr:uid="{E8B564C3-3DDD-45E3-A7DB-894FF3FB4D4A}"/>
    <cellStyle name="Normal 9 3 2 6 4" xfId="10356" xr:uid="{658E9301-337B-45AB-93C7-BFBCA3650078}"/>
    <cellStyle name="Normal 9 3 2 7" xfId="2238" xr:uid="{00000000-0005-0000-0000-0000F31F0000}"/>
    <cellStyle name="Normal 9 3 2 7 2" xfId="4467" xr:uid="{00000000-0005-0000-0000-0000F41F0000}"/>
    <cellStyle name="Normal 9 3 2 7 2 2" xfId="8690" xr:uid="{00000000-0005-0000-0000-0000F51F0000}"/>
    <cellStyle name="Normal 9 3 2 7 2 2 2" xfId="17132" xr:uid="{51576540-77CC-4648-816A-C79875EB6300}"/>
    <cellStyle name="Normal 9 3 2 7 2 3" xfId="12914" xr:uid="{7CDD6EA5-76C8-447E-BA60-21D71DD3DD3C}"/>
    <cellStyle name="Normal 9 3 2 7 3" xfId="6545" xr:uid="{00000000-0005-0000-0000-0000F61F0000}"/>
    <cellStyle name="Normal 9 3 2 7 3 2" xfId="14987" xr:uid="{9A479C50-7F15-4175-A842-D0D2B765FC85}"/>
    <cellStyle name="Normal 9 3 2 7 4" xfId="10769" xr:uid="{1E3DCFAD-24C7-4CDF-96A3-1BE61C4586F9}"/>
    <cellStyle name="Normal 9 3 2 8" xfId="2674" xr:uid="{00000000-0005-0000-0000-0000F71F0000}"/>
    <cellStyle name="Normal 9 3 2 8 2" xfId="6958" xr:uid="{00000000-0005-0000-0000-0000F81F0000}"/>
    <cellStyle name="Normal 9 3 2 8 2 2" xfId="15400" xr:uid="{B1F60671-61FA-4DE3-91B7-10C889243A5C}"/>
    <cellStyle name="Normal 9 3 2 8 3" xfId="11182" xr:uid="{C7EC198F-98E5-4E1C-A61E-F010B5D9FB93}"/>
    <cellStyle name="Normal 9 3 2 9" xfId="4893" xr:uid="{00000000-0005-0000-0000-0000F91F0000}"/>
    <cellStyle name="Normal 9 3 2 9 2" xfId="13335" xr:uid="{95C663A9-5413-481F-A8A3-2F527E8896AC}"/>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2 2 2" xfId="15898" xr:uid="{9998F43B-03B5-4B62-B09B-43A211751D59}"/>
    <cellStyle name="Normal 9 3 3 2 2 2 3" xfId="11680" xr:uid="{B4C00699-CA5E-4BA3-BBE3-B6D2F83FF143}"/>
    <cellStyle name="Normal 9 3 3 2 2 3" xfId="5311" xr:uid="{00000000-0005-0000-0000-0000FF1F0000}"/>
    <cellStyle name="Normal 9 3 3 2 2 3 2" xfId="13753" xr:uid="{E06773F0-5B56-4334-9ECD-5CA6686C1FFC}"/>
    <cellStyle name="Normal 9 3 3 2 2 4" xfId="9535" xr:uid="{D7431AF9-6724-454E-8B80-936910006D32}"/>
    <cellStyle name="Normal 9 3 3 2 3" xfId="1416" xr:uid="{00000000-0005-0000-0000-000000200000}"/>
    <cellStyle name="Normal 9 3 3 2 3 2" xfId="3646" xr:uid="{00000000-0005-0000-0000-000001200000}"/>
    <cellStyle name="Normal 9 3 3 2 3 2 2" xfId="7869" xr:uid="{00000000-0005-0000-0000-000002200000}"/>
    <cellStyle name="Normal 9 3 3 2 3 2 2 2" xfId="16311" xr:uid="{0C01E89F-2843-4000-A65C-F59DD58379A7}"/>
    <cellStyle name="Normal 9 3 3 2 3 2 3" xfId="12093" xr:uid="{7E085242-A0A0-4EA8-A078-7233C7449DD3}"/>
    <cellStyle name="Normal 9 3 3 2 3 3" xfId="5724" xr:uid="{00000000-0005-0000-0000-000003200000}"/>
    <cellStyle name="Normal 9 3 3 2 3 3 2" xfId="14166" xr:uid="{A7C0EA28-CE2D-4B9F-8EB0-0190D5ACA319}"/>
    <cellStyle name="Normal 9 3 3 2 3 4" xfId="9948" xr:uid="{2CA6FB9C-D11A-4F82-9389-D82DFD8689A3}"/>
    <cellStyle name="Normal 9 3 3 2 4" xfId="1829" xr:uid="{00000000-0005-0000-0000-000004200000}"/>
    <cellStyle name="Normal 9 3 3 2 4 2" xfId="4059" xr:uid="{00000000-0005-0000-0000-000005200000}"/>
    <cellStyle name="Normal 9 3 3 2 4 2 2" xfId="8282" xr:uid="{00000000-0005-0000-0000-000006200000}"/>
    <cellStyle name="Normal 9 3 3 2 4 2 2 2" xfId="16724" xr:uid="{13148FC2-97E1-4AD3-8836-EB42C6D1A9CE}"/>
    <cellStyle name="Normal 9 3 3 2 4 2 3" xfId="12506" xr:uid="{B8A8920A-79ED-4529-AC57-160D44926F9A}"/>
    <cellStyle name="Normal 9 3 3 2 4 3" xfId="6137" xr:uid="{00000000-0005-0000-0000-000007200000}"/>
    <cellStyle name="Normal 9 3 3 2 4 3 2" xfId="14579" xr:uid="{8EF73A6F-B321-494D-ABDE-7127F3E69333}"/>
    <cellStyle name="Normal 9 3 3 2 4 4" xfId="10361" xr:uid="{FDE673EB-1CFB-4504-A10C-5FA9CB1E2EE3}"/>
    <cellStyle name="Normal 9 3 3 2 5" xfId="2243" xr:uid="{00000000-0005-0000-0000-000008200000}"/>
    <cellStyle name="Normal 9 3 3 2 5 2" xfId="4472" xr:uid="{00000000-0005-0000-0000-000009200000}"/>
    <cellStyle name="Normal 9 3 3 2 5 2 2" xfId="8695" xr:uid="{00000000-0005-0000-0000-00000A200000}"/>
    <cellStyle name="Normal 9 3 3 2 5 2 2 2" xfId="17137" xr:uid="{12DCA5BD-52A6-4584-A882-176A6A1FE2D6}"/>
    <cellStyle name="Normal 9 3 3 2 5 2 3" xfId="12919" xr:uid="{F5B444AE-8F51-4DF2-A558-D7CBCFA00076}"/>
    <cellStyle name="Normal 9 3 3 2 5 3" xfId="6550" xr:uid="{00000000-0005-0000-0000-00000B200000}"/>
    <cellStyle name="Normal 9 3 3 2 5 3 2" xfId="14992" xr:uid="{BE4B26E4-A560-4B95-8212-95FA9F1EF949}"/>
    <cellStyle name="Normal 9 3 3 2 5 4" xfId="10774" xr:uid="{4C412C59-1435-4F65-8A57-AAE47B0E2C62}"/>
    <cellStyle name="Normal 9 3 3 2 6" xfId="2679" xr:uid="{00000000-0005-0000-0000-00000C200000}"/>
    <cellStyle name="Normal 9 3 3 2 6 2" xfId="6963" xr:uid="{00000000-0005-0000-0000-00000D200000}"/>
    <cellStyle name="Normal 9 3 3 2 6 2 2" xfId="15405" xr:uid="{24FBE56E-B1D9-42C5-A942-A8258BEF5BD9}"/>
    <cellStyle name="Normal 9 3 3 2 6 3" xfId="11187" xr:uid="{2EDBDE9B-0C74-4B85-9C11-742069327FB8}"/>
    <cellStyle name="Normal 9 3 3 2 7" xfId="4898" xr:uid="{00000000-0005-0000-0000-00000E200000}"/>
    <cellStyle name="Normal 9 3 3 2 7 2" xfId="13340" xr:uid="{6F829846-E739-4E95-A513-259244A29481}"/>
    <cellStyle name="Normal 9 3 3 2 8" xfId="9122" xr:uid="{BBD8A230-6C83-41C0-985D-89173882B7D9}"/>
    <cellStyle name="Normal 9 3 3 3" xfId="999" xr:uid="{00000000-0005-0000-0000-00000F200000}"/>
    <cellStyle name="Normal 9 3 3 3 2" xfId="3232" xr:uid="{00000000-0005-0000-0000-000010200000}"/>
    <cellStyle name="Normal 9 3 3 3 2 2" xfId="7455" xr:uid="{00000000-0005-0000-0000-000011200000}"/>
    <cellStyle name="Normal 9 3 3 3 2 2 2" xfId="15897" xr:uid="{D1361919-9D76-47F6-B52D-DC1522F87474}"/>
    <cellStyle name="Normal 9 3 3 3 2 3" xfId="11679" xr:uid="{A7762BCC-5B8B-44CD-877C-17FF0F0FE9B0}"/>
    <cellStyle name="Normal 9 3 3 3 3" xfId="5310" xr:uid="{00000000-0005-0000-0000-000012200000}"/>
    <cellStyle name="Normal 9 3 3 3 3 2" xfId="13752" xr:uid="{70E368CE-3E18-4DE2-B98D-3B5E626249A6}"/>
    <cellStyle name="Normal 9 3 3 3 4" xfId="9534" xr:uid="{23AC52B2-C926-409F-A875-BB4B2BB65559}"/>
    <cellStyle name="Normal 9 3 3 4" xfId="1415" xr:uid="{00000000-0005-0000-0000-000013200000}"/>
    <cellStyle name="Normal 9 3 3 4 2" xfId="3645" xr:uid="{00000000-0005-0000-0000-000014200000}"/>
    <cellStyle name="Normal 9 3 3 4 2 2" xfId="7868" xr:uid="{00000000-0005-0000-0000-000015200000}"/>
    <cellStyle name="Normal 9 3 3 4 2 2 2" xfId="16310" xr:uid="{EB6C4094-3FBE-4A83-9952-6B662AAE418A}"/>
    <cellStyle name="Normal 9 3 3 4 2 3" xfId="12092" xr:uid="{FB7FD9A9-C839-45FB-986F-8BAE7AD8E4B7}"/>
    <cellStyle name="Normal 9 3 3 4 3" xfId="5723" xr:uid="{00000000-0005-0000-0000-000016200000}"/>
    <cellStyle name="Normal 9 3 3 4 3 2" xfId="14165" xr:uid="{A8C655C1-15BD-4E4B-BC77-BF80303A8E1D}"/>
    <cellStyle name="Normal 9 3 3 4 4" xfId="9947" xr:uid="{1EF15775-1CCE-4F09-9866-F9FCA2506094}"/>
    <cellStyle name="Normal 9 3 3 5" xfId="1828" xr:uid="{00000000-0005-0000-0000-000017200000}"/>
    <cellStyle name="Normal 9 3 3 5 2" xfId="4058" xr:uid="{00000000-0005-0000-0000-000018200000}"/>
    <cellStyle name="Normal 9 3 3 5 2 2" xfId="8281" xr:uid="{00000000-0005-0000-0000-000019200000}"/>
    <cellStyle name="Normal 9 3 3 5 2 2 2" xfId="16723" xr:uid="{23635487-5814-4E9D-BEB3-BFE7E5475F9D}"/>
    <cellStyle name="Normal 9 3 3 5 2 3" xfId="12505" xr:uid="{DBB8DD3F-0DBB-46C4-8450-C5D4137E011A}"/>
    <cellStyle name="Normal 9 3 3 5 3" xfId="6136" xr:uid="{00000000-0005-0000-0000-00001A200000}"/>
    <cellStyle name="Normal 9 3 3 5 3 2" xfId="14578" xr:uid="{7494ED02-A806-47B7-A16D-BF54C7FBAEBD}"/>
    <cellStyle name="Normal 9 3 3 5 4" xfId="10360" xr:uid="{4E2CE264-459C-466E-AE7E-288410166A51}"/>
    <cellStyle name="Normal 9 3 3 6" xfId="2242" xr:uid="{00000000-0005-0000-0000-00001B200000}"/>
    <cellStyle name="Normal 9 3 3 6 2" xfId="4471" xr:uid="{00000000-0005-0000-0000-00001C200000}"/>
    <cellStyle name="Normal 9 3 3 6 2 2" xfId="8694" xr:uid="{00000000-0005-0000-0000-00001D200000}"/>
    <cellStyle name="Normal 9 3 3 6 2 2 2" xfId="17136" xr:uid="{312895F8-C1D3-4767-8C71-73A9EE3CE8CA}"/>
    <cellStyle name="Normal 9 3 3 6 2 3" xfId="12918" xr:uid="{2A6CAE39-CCA2-44E1-A0FC-84EA1C9339B2}"/>
    <cellStyle name="Normal 9 3 3 6 3" xfId="6549" xr:uid="{00000000-0005-0000-0000-00001E200000}"/>
    <cellStyle name="Normal 9 3 3 6 3 2" xfId="14991" xr:uid="{5910865A-C754-4A73-A008-001F3E67549C}"/>
    <cellStyle name="Normal 9 3 3 6 4" xfId="10773" xr:uid="{9EFDE38F-8DA8-479A-9B09-FE3E05DCA655}"/>
    <cellStyle name="Normal 9 3 3 7" xfId="2678" xr:uid="{00000000-0005-0000-0000-00001F200000}"/>
    <cellStyle name="Normal 9 3 3 7 2" xfId="6962" xr:uid="{00000000-0005-0000-0000-000020200000}"/>
    <cellStyle name="Normal 9 3 3 7 2 2" xfId="15404" xr:uid="{1076CCD7-0722-4BA6-9798-D6A4A6995D41}"/>
    <cellStyle name="Normal 9 3 3 7 3" xfId="11186" xr:uid="{7A9941A7-0B45-40D9-9300-64F2B0CDBF46}"/>
    <cellStyle name="Normal 9 3 3 8" xfId="4897" xr:uid="{00000000-0005-0000-0000-000021200000}"/>
    <cellStyle name="Normal 9 3 3 8 2" xfId="13339" xr:uid="{4D582D12-814B-4C5F-8E8A-782151C23105}"/>
    <cellStyle name="Normal 9 3 3 9" xfId="9121" xr:uid="{0A89B73A-9089-46BB-8D18-7223958F1F4C}"/>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2 2 2" xfId="15899" xr:uid="{1FA2F119-B8B8-44C4-862F-255CEA145A46}"/>
    <cellStyle name="Normal 9 3 4 2 2 3" xfId="11681" xr:uid="{F6AB7FF3-364B-473A-916F-E2BA0C33A424}"/>
    <cellStyle name="Normal 9 3 4 2 3" xfId="5312" xr:uid="{00000000-0005-0000-0000-000026200000}"/>
    <cellStyle name="Normal 9 3 4 2 3 2" xfId="13754" xr:uid="{0223A776-76BF-4180-B7E3-1933BDD8FBB0}"/>
    <cellStyle name="Normal 9 3 4 2 4" xfId="9536" xr:uid="{33E7DFCD-7767-4A0F-8876-ED7706372270}"/>
    <cellStyle name="Normal 9 3 4 3" xfId="1417" xr:uid="{00000000-0005-0000-0000-000027200000}"/>
    <cellStyle name="Normal 9 3 4 3 2" xfId="3647" xr:uid="{00000000-0005-0000-0000-000028200000}"/>
    <cellStyle name="Normal 9 3 4 3 2 2" xfId="7870" xr:uid="{00000000-0005-0000-0000-000029200000}"/>
    <cellStyle name="Normal 9 3 4 3 2 2 2" xfId="16312" xr:uid="{FE6F6074-8857-4D02-9ECA-A361EB7275EB}"/>
    <cellStyle name="Normal 9 3 4 3 2 3" xfId="12094" xr:uid="{5F8A6F5A-38A1-4664-9E06-72FA6CB1B449}"/>
    <cellStyle name="Normal 9 3 4 3 3" xfId="5725" xr:uid="{00000000-0005-0000-0000-00002A200000}"/>
    <cellStyle name="Normal 9 3 4 3 3 2" xfId="14167" xr:uid="{108170CA-D900-46AA-A2F2-EC1CE1BE91D2}"/>
    <cellStyle name="Normal 9 3 4 3 4" xfId="9949" xr:uid="{9F623593-429C-47B9-88D2-81F2A9220A61}"/>
    <cellStyle name="Normal 9 3 4 4" xfId="1830" xr:uid="{00000000-0005-0000-0000-00002B200000}"/>
    <cellStyle name="Normal 9 3 4 4 2" xfId="4060" xr:uid="{00000000-0005-0000-0000-00002C200000}"/>
    <cellStyle name="Normal 9 3 4 4 2 2" xfId="8283" xr:uid="{00000000-0005-0000-0000-00002D200000}"/>
    <cellStyle name="Normal 9 3 4 4 2 2 2" xfId="16725" xr:uid="{E76A0B9A-E85E-4BA7-9BB5-EDEC8B066516}"/>
    <cellStyle name="Normal 9 3 4 4 2 3" xfId="12507" xr:uid="{BEDF1F0E-AA24-4C2C-9321-B6DCDB3B15BA}"/>
    <cellStyle name="Normal 9 3 4 4 3" xfId="6138" xr:uid="{00000000-0005-0000-0000-00002E200000}"/>
    <cellStyle name="Normal 9 3 4 4 3 2" xfId="14580" xr:uid="{94AA5B47-2A15-4F46-9007-B7A1EABEB4D2}"/>
    <cellStyle name="Normal 9 3 4 4 4" xfId="10362" xr:uid="{07351D7A-36FC-4359-A827-43A8B7EDB09F}"/>
    <cellStyle name="Normal 9 3 4 5" xfId="2244" xr:uid="{00000000-0005-0000-0000-00002F200000}"/>
    <cellStyle name="Normal 9 3 4 5 2" xfId="4473" xr:uid="{00000000-0005-0000-0000-000030200000}"/>
    <cellStyle name="Normal 9 3 4 5 2 2" xfId="8696" xr:uid="{00000000-0005-0000-0000-000031200000}"/>
    <cellStyle name="Normal 9 3 4 5 2 2 2" xfId="17138" xr:uid="{4283B198-D6D8-4D45-8ABE-A19E67A1FA98}"/>
    <cellStyle name="Normal 9 3 4 5 2 3" xfId="12920" xr:uid="{E3CEC365-DD59-459C-B0CF-7ECCF273F1EC}"/>
    <cellStyle name="Normal 9 3 4 5 3" xfId="6551" xr:uid="{00000000-0005-0000-0000-000032200000}"/>
    <cellStyle name="Normal 9 3 4 5 3 2" xfId="14993" xr:uid="{4A83A3D3-CF36-4DE5-A1C6-89FA640ABCB2}"/>
    <cellStyle name="Normal 9 3 4 5 4" xfId="10775" xr:uid="{39A1186C-26E8-43BD-AAA6-C3C5EA51F5B1}"/>
    <cellStyle name="Normal 9 3 4 6" xfId="2680" xr:uid="{00000000-0005-0000-0000-000033200000}"/>
    <cellStyle name="Normal 9 3 4 6 2" xfId="6964" xr:uid="{00000000-0005-0000-0000-000034200000}"/>
    <cellStyle name="Normal 9 3 4 6 2 2" xfId="15406" xr:uid="{8AC5DC11-9733-4045-84E5-BFF39F79FA73}"/>
    <cellStyle name="Normal 9 3 4 6 3" xfId="11188" xr:uid="{86A50A88-53A6-4F14-B41B-FC8CE6E59998}"/>
    <cellStyle name="Normal 9 3 4 7" xfId="4899" xr:uid="{00000000-0005-0000-0000-000035200000}"/>
    <cellStyle name="Normal 9 3 4 7 2" xfId="13341" xr:uid="{56DDCAC5-8BF9-4748-9553-0AE985C6CA1A}"/>
    <cellStyle name="Normal 9 3 4 8" xfId="9123" xr:uid="{D084B383-AB37-4D79-A10D-0CB274FAA0B0}"/>
    <cellStyle name="Normal 9 3 5" xfId="994" xr:uid="{00000000-0005-0000-0000-000036200000}"/>
    <cellStyle name="Normal 9 3 5 2" xfId="3227" xr:uid="{00000000-0005-0000-0000-000037200000}"/>
    <cellStyle name="Normal 9 3 5 2 2" xfId="7450" xr:uid="{00000000-0005-0000-0000-000038200000}"/>
    <cellStyle name="Normal 9 3 5 2 2 2" xfId="15892" xr:uid="{3987DD4A-506C-42E8-9CB3-5BD443AD3904}"/>
    <cellStyle name="Normal 9 3 5 2 3" xfId="11674" xr:uid="{159AB204-0E2E-4382-9FF1-1A6C46D0A82C}"/>
    <cellStyle name="Normal 9 3 5 3" xfId="5305" xr:uid="{00000000-0005-0000-0000-000039200000}"/>
    <cellStyle name="Normal 9 3 5 3 2" xfId="13747" xr:uid="{DE8ACBD9-F044-4D1B-88B4-92D105868186}"/>
    <cellStyle name="Normal 9 3 5 4" xfId="9529" xr:uid="{62A747FF-5926-4402-9B5C-E2DAF1815629}"/>
    <cellStyle name="Normal 9 3 6" xfId="1410" xr:uid="{00000000-0005-0000-0000-00003A200000}"/>
    <cellStyle name="Normal 9 3 6 2" xfId="3640" xr:uid="{00000000-0005-0000-0000-00003B200000}"/>
    <cellStyle name="Normal 9 3 6 2 2" xfId="7863" xr:uid="{00000000-0005-0000-0000-00003C200000}"/>
    <cellStyle name="Normal 9 3 6 2 2 2" xfId="16305" xr:uid="{31C96468-B2D2-4E59-8EEC-68A44B255601}"/>
    <cellStyle name="Normal 9 3 6 2 3" xfId="12087" xr:uid="{0F894A6D-78B5-4174-A243-55E4466A0B09}"/>
    <cellStyle name="Normal 9 3 6 3" xfId="5718" xr:uid="{00000000-0005-0000-0000-00003D200000}"/>
    <cellStyle name="Normal 9 3 6 3 2" xfId="14160" xr:uid="{B76F96FB-FA9D-48B1-AD50-D43486EC302B}"/>
    <cellStyle name="Normal 9 3 6 4" xfId="9942" xr:uid="{3B2C3434-25E5-4C1A-B446-8BA864FFDAB9}"/>
    <cellStyle name="Normal 9 3 7" xfId="1823" xr:uid="{00000000-0005-0000-0000-00003E200000}"/>
    <cellStyle name="Normal 9 3 7 2" xfId="4053" xr:uid="{00000000-0005-0000-0000-00003F200000}"/>
    <cellStyle name="Normal 9 3 7 2 2" xfId="8276" xr:uid="{00000000-0005-0000-0000-000040200000}"/>
    <cellStyle name="Normal 9 3 7 2 2 2" xfId="16718" xr:uid="{1471CAAC-4E03-4E44-A4A8-EE41EBFAA258}"/>
    <cellStyle name="Normal 9 3 7 2 3" xfId="12500" xr:uid="{6104383B-9608-410D-9BF5-4CE748F6B1C2}"/>
    <cellStyle name="Normal 9 3 7 3" xfId="6131" xr:uid="{00000000-0005-0000-0000-000041200000}"/>
    <cellStyle name="Normal 9 3 7 3 2" xfId="14573" xr:uid="{C3F0CFB4-4D0F-4F22-81AC-DAC6C86F43B5}"/>
    <cellStyle name="Normal 9 3 7 4" xfId="10355" xr:uid="{AAE6E0EF-7FBD-43DC-B4BA-87758E11A474}"/>
    <cellStyle name="Normal 9 3 8" xfId="2237" xr:uid="{00000000-0005-0000-0000-000042200000}"/>
    <cellStyle name="Normal 9 3 8 2" xfId="4466" xr:uid="{00000000-0005-0000-0000-000043200000}"/>
    <cellStyle name="Normal 9 3 8 2 2" xfId="8689" xr:uid="{00000000-0005-0000-0000-000044200000}"/>
    <cellStyle name="Normal 9 3 8 2 2 2" xfId="17131" xr:uid="{982F0A3E-880E-4207-88CC-7C3C0A4158DB}"/>
    <cellStyle name="Normal 9 3 8 2 3" xfId="12913" xr:uid="{64B45A3E-6318-4BAE-8528-693A6B74935C}"/>
    <cellStyle name="Normal 9 3 8 3" xfId="6544" xr:uid="{00000000-0005-0000-0000-000045200000}"/>
    <cellStyle name="Normal 9 3 8 3 2" xfId="14986" xr:uid="{C9468EA3-0B61-4D2D-B32B-80730E2858A6}"/>
    <cellStyle name="Normal 9 3 8 4" xfId="10768" xr:uid="{E2C9C726-C0A0-41F0-8A6C-93CCA18D34A7}"/>
    <cellStyle name="Normal 9 3 9" xfId="2673" xr:uid="{00000000-0005-0000-0000-000046200000}"/>
    <cellStyle name="Normal 9 3 9 2" xfId="6957" xr:uid="{00000000-0005-0000-0000-000047200000}"/>
    <cellStyle name="Normal 9 3 9 2 2" xfId="15399" xr:uid="{E58E98B3-95B7-4C17-8857-F9A1237A5090}"/>
    <cellStyle name="Normal 9 3 9 3" xfId="11181" xr:uid="{1270D858-1841-4AE2-B940-FEA069E13C46}"/>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2 2 2" xfId="15901" xr:uid="{92F699DB-EA37-48C4-8D59-A244B304976B}"/>
    <cellStyle name="Normal 9 5 2 2 2 3" xfId="11683" xr:uid="{785A6EA1-01BE-4356-A498-316E986BB245}"/>
    <cellStyle name="Normal 9 5 2 2 3" xfId="5314" xr:uid="{00000000-0005-0000-0000-00004F200000}"/>
    <cellStyle name="Normal 9 5 2 2 3 2" xfId="13756" xr:uid="{B4D5CC4A-D100-490D-AF07-BCF21CCA211A}"/>
    <cellStyle name="Normal 9 5 2 2 4" xfId="9538" xr:uid="{B2C2737C-6AB1-4270-AA64-7BAFAF7EC286}"/>
    <cellStyle name="Normal 9 5 2 3" xfId="1419" xr:uid="{00000000-0005-0000-0000-000050200000}"/>
    <cellStyle name="Normal 9 5 2 3 2" xfId="3649" xr:uid="{00000000-0005-0000-0000-000051200000}"/>
    <cellStyle name="Normal 9 5 2 3 2 2" xfId="7872" xr:uid="{00000000-0005-0000-0000-000052200000}"/>
    <cellStyle name="Normal 9 5 2 3 2 2 2" xfId="16314" xr:uid="{4E83EB9E-30FD-4DF0-BCB2-A517728CE0DB}"/>
    <cellStyle name="Normal 9 5 2 3 2 3" xfId="12096" xr:uid="{92BE5D83-7693-4141-9E7F-20E276ED2F97}"/>
    <cellStyle name="Normal 9 5 2 3 3" xfId="5727" xr:uid="{00000000-0005-0000-0000-000053200000}"/>
    <cellStyle name="Normal 9 5 2 3 3 2" xfId="14169" xr:uid="{343BBA06-4EA3-4230-BCE5-DB0FC49AD324}"/>
    <cellStyle name="Normal 9 5 2 3 4" xfId="9951" xr:uid="{8F84C2BF-76C6-41C7-84D0-4E6876E8A4EB}"/>
    <cellStyle name="Normal 9 5 2 4" xfId="1832" xr:uid="{00000000-0005-0000-0000-000054200000}"/>
    <cellStyle name="Normal 9 5 2 4 2" xfId="4062" xr:uid="{00000000-0005-0000-0000-000055200000}"/>
    <cellStyle name="Normal 9 5 2 4 2 2" xfId="8285" xr:uid="{00000000-0005-0000-0000-000056200000}"/>
    <cellStyle name="Normal 9 5 2 4 2 2 2" xfId="16727" xr:uid="{AB1DB1FE-E7D3-4069-9A91-34B0F9CC4642}"/>
    <cellStyle name="Normal 9 5 2 4 2 3" xfId="12509" xr:uid="{D747DF63-67C4-46E2-9E4C-54191B0B5DE9}"/>
    <cellStyle name="Normal 9 5 2 4 3" xfId="6140" xr:uid="{00000000-0005-0000-0000-000057200000}"/>
    <cellStyle name="Normal 9 5 2 4 3 2" xfId="14582" xr:uid="{6D675FF1-CD77-4903-9BC0-E60C10FC4ED8}"/>
    <cellStyle name="Normal 9 5 2 4 4" xfId="10364" xr:uid="{B1AC6C7E-FF2A-43C9-8156-37C4BEFDF06B}"/>
    <cellStyle name="Normal 9 5 2 5" xfId="2246" xr:uid="{00000000-0005-0000-0000-000058200000}"/>
    <cellStyle name="Normal 9 5 2 5 2" xfId="4475" xr:uid="{00000000-0005-0000-0000-000059200000}"/>
    <cellStyle name="Normal 9 5 2 5 2 2" xfId="8698" xr:uid="{00000000-0005-0000-0000-00005A200000}"/>
    <cellStyle name="Normal 9 5 2 5 2 2 2" xfId="17140" xr:uid="{E45809B4-AD43-4555-BFAE-44F555FE4957}"/>
    <cellStyle name="Normal 9 5 2 5 2 3" xfId="12922" xr:uid="{32F73B03-45A4-48A9-9D49-1B45F99BABB8}"/>
    <cellStyle name="Normal 9 5 2 5 3" xfId="6553" xr:uid="{00000000-0005-0000-0000-00005B200000}"/>
    <cellStyle name="Normal 9 5 2 5 3 2" xfId="14995" xr:uid="{A4C8315D-2D2A-4132-A01E-09A887416261}"/>
    <cellStyle name="Normal 9 5 2 5 4" xfId="10777" xr:uid="{0459284E-ABE8-4DA4-9A76-72FB78DCA717}"/>
    <cellStyle name="Normal 9 5 2 6" xfId="2682" xr:uid="{00000000-0005-0000-0000-00005C200000}"/>
    <cellStyle name="Normal 9 5 2 6 2" xfId="6966" xr:uid="{00000000-0005-0000-0000-00005D200000}"/>
    <cellStyle name="Normal 9 5 2 6 2 2" xfId="15408" xr:uid="{777AB41B-0360-4776-AD63-922EF58ED196}"/>
    <cellStyle name="Normal 9 5 2 6 3" xfId="11190" xr:uid="{2C027EBE-E87A-42C5-B2D3-854CC98FDC66}"/>
    <cellStyle name="Normal 9 5 2 7" xfId="4901" xr:uid="{00000000-0005-0000-0000-00005E200000}"/>
    <cellStyle name="Normal 9 5 2 7 2" xfId="13343" xr:uid="{4436771C-2B82-4C13-BBDE-C2C6A215A10D}"/>
    <cellStyle name="Normal 9 5 2 8" xfId="9125" xr:uid="{33FAACFE-17D2-4D1F-8FE6-DEA0E605A833}"/>
    <cellStyle name="Normal 9 5 3" xfId="1003" xr:uid="{00000000-0005-0000-0000-00005F200000}"/>
    <cellStyle name="Normal 9 5 3 2" xfId="3235" xr:uid="{00000000-0005-0000-0000-000060200000}"/>
    <cellStyle name="Normal 9 5 3 2 2" xfId="7458" xr:uid="{00000000-0005-0000-0000-000061200000}"/>
    <cellStyle name="Normal 9 5 3 2 2 2" xfId="15900" xr:uid="{CC25D96F-A681-4243-B49B-75ECF4C3595E}"/>
    <cellStyle name="Normal 9 5 3 2 3" xfId="11682" xr:uid="{337DE005-CF19-4709-BD9C-B53901483A07}"/>
    <cellStyle name="Normal 9 5 3 3" xfId="5313" xr:uid="{00000000-0005-0000-0000-000062200000}"/>
    <cellStyle name="Normal 9 5 3 3 2" xfId="13755" xr:uid="{6AFEE662-B642-4CDB-A3B9-7EB5B37DD35F}"/>
    <cellStyle name="Normal 9 5 3 4" xfId="9537" xr:uid="{CDBD5FC2-F3A4-488F-9684-99E2884431FF}"/>
    <cellStyle name="Normal 9 5 4" xfId="1418" xr:uid="{00000000-0005-0000-0000-000063200000}"/>
    <cellStyle name="Normal 9 5 4 2" xfId="3648" xr:uid="{00000000-0005-0000-0000-000064200000}"/>
    <cellStyle name="Normal 9 5 4 2 2" xfId="7871" xr:uid="{00000000-0005-0000-0000-000065200000}"/>
    <cellStyle name="Normal 9 5 4 2 2 2" xfId="16313" xr:uid="{D7F43158-6849-48EF-BDB1-EC53649CA836}"/>
    <cellStyle name="Normal 9 5 4 2 3" xfId="12095" xr:uid="{4A444E8E-4BC3-4015-9237-B51EC6872EB6}"/>
    <cellStyle name="Normal 9 5 4 3" xfId="5726" xr:uid="{00000000-0005-0000-0000-000066200000}"/>
    <cellStyle name="Normal 9 5 4 3 2" xfId="14168" xr:uid="{6C768F8C-0AAA-4851-8713-23AD627A2233}"/>
    <cellStyle name="Normal 9 5 4 4" xfId="9950" xr:uid="{B5C1DF21-7116-4539-955C-ABF4A1D88BE3}"/>
    <cellStyle name="Normal 9 5 5" xfId="1831" xr:uid="{00000000-0005-0000-0000-000067200000}"/>
    <cellStyle name="Normal 9 5 5 2" xfId="4061" xr:uid="{00000000-0005-0000-0000-000068200000}"/>
    <cellStyle name="Normal 9 5 5 2 2" xfId="8284" xr:uid="{00000000-0005-0000-0000-000069200000}"/>
    <cellStyle name="Normal 9 5 5 2 2 2" xfId="16726" xr:uid="{623BEA6A-E9B6-4860-A15A-3EB13EF05675}"/>
    <cellStyle name="Normal 9 5 5 2 3" xfId="12508" xr:uid="{FB329779-D4A5-4521-9237-395349EACEF6}"/>
    <cellStyle name="Normal 9 5 5 3" xfId="6139" xr:uid="{00000000-0005-0000-0000-00006A200000}"/>
    <cellStyle name="Normal 9 5 5 3 2" xfId="14581" xr:uid="{5ED8AE4B-B50C-44AD-BF47-D2FD0616BBC9}"/>
    <cellStyle name="Normal 9 5 5 4" xfId="10363" xr:uid="{EA4E2880-3FA6-460E-BE45-DB98F36D9702}"/>
    <cellStyle name="Normal 9 5 6" xfId="2245" xr:uid="{00000000-0005-0000-0000-00006B200000}"/>
    <cellStyle name="Normal 9 5 6 2" xfId="4474" xr:uid="{00000000-0005-0000-0000-00006C200000}"/>
    <cellStyle name="Normal 9 5 6 2 2" xfId="8697" xr:uid="{00000000-0005-0000-0000-00006D200000}"/>
    <cellStyle name="Normal 9 5 6 2 2 2" xfId="17139" xr:uid="{D9309A26-33FC-4576-BF33-2749FC2B43F4}"/>
    <cellStyle name="Normal 9 5 6 2 3" xfId="12921" xr:uid="{7F169768-4376-4F83-9583-4787ABA516D0}"/>
    <cellStyle name="Normal 9 5 6 3" xfId="6552" xr:uid="{00000000-0005-0000-0000-00006E200000}"/>
    <cellStyle name="Normal 9 5 6 3 2" xfId="14994" xr:uid="{EE4B895F-D233-4C6A-8A24-E94971C515EC}"/>
    <cellStyle name="Normal 9 5 6 4" xfId="10776" xr:uid="{4459B2E2-22F3-41D8-86F1-C7F80D48E5B9}"/>
    <cellStyle name="Normal 9 5 7" xfId="2681" xr:uid="{00000000-0005-0000-0000-00006F200000}"/>
    <cellStyle name="Normal 9 5 7 2" xfId="6965" xr:uid="{00000000-0005-0000-0000-000070200000}"/>
    <cellStyle name="Normal 9 5 7 2 2" xfId="15407" xr:uid="{D6C70454-7E0E-4CC4-A10C-939051C8EDB3}"/>
    <cellStyle name="Normal 9 5 7 3" xfId="11189" xr:uid="{A7962DE0-DA8B-4643-9C77-2FC41836A04B}"/>
    <cellStyle name="Normal 9 5 8" xfId="4900" xr:uid="{00000000-0005-0000-0000-000071200000}"/>
    <cellStyle name="Normal 9 5 8 2" xfId="13342" xr:uid="{FDAA4FC2-6DC9-4532-B866-39EF6EDA8BFA}"/>
    <cellStyle name="Normal 9 5 9" xfId="9124" xr:uid="{8B2B3F31-A612-42B1-A52B-B531D7CD3EED}"/>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2 2 2" xfId="15902" xr:uid="{096BF45B-D84F-42E7-B3CC-78CB799BC4B2}"/>
    <cellStyle name="Normal 9 6 2 2 3" xfId="11684" xr:uid="{F09AF24A-51CB-4011-9173-56B6B4C683DD}"/>
    <cellStyle name="Normal 9 6 2 3" xfId="5315" xr:uid="{00000000-0005-0000-0000-000076200000}"/>
    <cellStyle name="Normal 9 6 2 3 2" xfId="13757" xr:uid="{970E6551-C25C-48DF-B1A5-F77F64A0D7E5}"/>
    <cellStyle name="Normal 9 6 2 4" xfId="9539" xr:uid="{774A5C38-C88D-438F-AE88-B93F49D45B28}"/>
    <cellStyle name="Normal 9 6 3" xfId="1420" xr:uid="{00000000-0005-0000-0000-000077200000}"/>
    <cellStyle name="Normal 9 6 3 2" xfId="3650" xr:uid="{00000000-0005-0000-0000-000078200000}"/>
    <cellStyle name="Normal 9 6 3 2 2" xfId="7873" xr:uid="{00000000-0005-0000-0000-000079200000}"/>
    <cellStyle name="Normal 9 6 3 2 2 2" xfId="16315" xr:uid="{66CF3FEC-5F1B-4C15-BD24-349521510B72}"/>
    <cellStyle name="Normal 9 6 3 2 3" xfId="12097" xr:uid="{151D531B-FFDE-4297-8D08-F2A038DDCE97}"/>
    <cellStyle name="Normal 9 6 3 3" xfId="5728" xr:uid="{00000000-0005-0000-0000-00007A200000}"/>
    <cellStyle name="Normal 9 6 3 3 2" xfId="14170" xr:uid="{17ABA8CD-2172-4C11-B01B-6E3E655DE892}"/>
    <cellStyle name="Normal 9 6 3 4" xfId="9952" xr:uid="{B12CA0E3-7716-42E0-AEB4-E8C539408B78}"/>
    <cellStyle name="Normal 9 6 4" xfId="1833" xr:uid="{00000000-0005-0000-0000-00007B200000}"/>
    <cellStyle name="Normal 9 6 4 2" xfId="4063" xr:uid="{00000000-0005-0000-0000-00007C200000}"/>
    <cellStyle name="Normal 9 6 4 2 2" xfId="8286" xr:uid="{00000000-0005-0000-0000-00007D200000}"/>
    <cellStyle name="Normal 9 6 4 2 2 2" xfId="16728" xr:uid="{FEDC4B28-640D-4D61-B45E-7B0C1F36FEED}"/>
    <cellStyle name="Normal 9 6 4 2 3" xfId="12510" xr:uid="{BC71F624-F772-4DFA-9DE6-2F9C7D60679E}"/>
    <cellStyle name="Normal 9 6 4 3" xfId="6141" xr:uid="{00000000-0005-0000-0000-00007E200000}"/>
    <cellStyle name="Normal 9 6 4 3 2" xfId="14583" xr:uid="{C0742EBF-D775-4DD9-9BC9-A986273D5EB1}"/>
    <cellStyle name="Normal 9 6 4 4" xfId="10365" xr:uid="{078D7878-0146-4DC0-967D-26345D123338}"/>
    <cellStyle name="Normal 9 6 5" xfId="2247" xr:uid="{00000000-0005-0000-0000-00007F200000}"/>
    <cellStyle name="Normal 9 6 5 2" xfId="4476" xr:uid="{00000000-0005-0000-0000-000080200000}"/>
    <cellStyle name="Normal 9 6 5 2 2" xfId="8699" xr:uid="{00000000-0005-0000-0000-000081200000}"/>
    <cellStyle name="Normal 9 6 5 2 2 2" xfId="17141" xr:uid="{427A185A-06ED-4C72-AEDC-7D7FABB9871D}"/>
    <cellStyle name="Normal 9 6 5 2 3" xfId="12923" xr:uid="{63C45A80-05D4-4FAB-BFA3-374A508ABD39}"/>
    <cellStyle name="Normal 9 6 5 3" xfId="6554" xr:uid="{00000000-0005-0000-0000-000082200000}"/>
    <cellStyle name="Normal 9 6 5 3 2" xfId="14996" xr:uid="{D806CE27-A026-49EF-8A31-4DC3B66AA118}"/>
    <cellStyle name="Normal 9 6 5 4" xfId="10778" xr:uid="{40A3E6DA-7F53-4236-91E0-EAD5FB9CE2A2}"/>
    <cellStyle name="Normal 9 6 6" xfId="2683" xr:uid="{00000000-0005-0000-0000-000083200000}"/>
    <cellStyle name="Normal 9 6 6 2" xfId="6967" xr:uid="{00000000-0005-0000-0000-000084200000}"/>
    <cellStyle name="Normal 9 6 6 2 2" xfId="15409" xr:uid="{F4713B67-949A-48D0-B646-FB7D599F2C4A}"/>
    <cellStyle name="Normal 9 6 6 3" xfId="11191" xr:uid="{EF7120F8-4E79-41A0-AA3F-7985BC91E439}"/>
    <cellStyle name="Normal 9 6 7" xfId="4902" xr:uid="{00000000-0005-0000-0000-000085200000}"/>
    <cellStyle name="Normal 9 6 7 2" xfId="13344" xr:uid="{26FC25E2-8DE8-4D74-8A9E-72B543D57009}"/>
    <cellStyle name="Normal 9 6 8" xfId="9126" xr:uid="{DD6AD539-1971-4B6A-986E-9D288E6F9A66}"/>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0 2 2" xfId="15490" xr:uid="{1A11770F-1479-411E-BA1F-CBD7553854DD}"/>
    <cellStyle name="Note 2 2 10 3" xfId="11272" xr:uid="{F7221DBB-4BA8-4F98-A0D9-A07AECC945B5}"/>
    <cellStyle name="Note 2 2 11" xfId="4903" xr:uid="{00000000-0005-0000-0000-000094200000}"/>
    <cellStyle name="Note 2 2 11 2" xfId="13345" xr:uid="{3BFED711-AD2F-45B9-AA75-9D2B0C7ED17C}"/>
    <cellStyle name="Note 2 2 12" xfId="9127" xr:uid="{C8D22178-3DD1-4DDA-9A3D-9A7EDADB99E9}"/>
    <cellStyle name="Note 2 2 2" xfId="546" xr:uid="{00000000-0005-0000-0000-000095200000}"/>
    <cellStyle name="Note 2 2 2 10" xfId="4904" xr:uid="{00000000-0005-0000-0000-000096200000}"/>
    <cellStyle name="Note 2 2 2 10 2" xfId="13346" xr:uid="{41F819B3-AB77-40BF-81B8-454882A4DD51}"/>
    <cellStyle name="Note 2 2 2 11" xfId="9128" xr:uid="{8E1C00CA-D27C-49B3-8425-75C160E333D1}"/>
    <cellStyle name="Note 2 2 2 2" xfId="547" xr:uid="{00000000-0005-0000-0000-000097200000}"/>
    <cellStyle name="Note 2 2 2 2 10" xfId="9129" xr:uid="{F4EE3E21-445B-44C0-A11A-B581AFE55970}"/>
    <cellStyle name="Note 2 2 2 2 2" xfId="1008" xr:uid="{00000000-0005-0000-0000-000098200000}"/>
    <cellStyle name="Note 2 2 2 2 2 2" xfId="3240" xr:uid="{00000000-0005-0000-0000-000099200000}"/>
    <cellStyle name="Note 2 2 2 2 2 2 2" xfId="7463" xr:uid="{00000000-0005-0000-0000-00009A200000}"/>
    <cellStyle name="Note 2 2 2 2 2 2 2 2" xfId="15905" xr:uid="{A581AC0D-B83F-48AA-BE94-427921313E00}"/>
    <cellStyle name="Note 2 2 2 2 2 2 3" xfId="11687" xr:uid="{387468B2-8181-4AE2-9659-11903D56146B}"/>
    <cellStyle name="Note 2 2 2 2 2 3" xfId="5318" xr:uid="{00000000-0005-0000-0000-00009B200000}"/>
    <cellStyle name="Note 2 2 2 2 2 3 2" xfId="13760" xr:uid="{D8344A3D-43A8-4E03-9204-E1BE8F679C1A}"/>
    <cellStyle name="Note 2 2 2 2 2 4" xfId="9542" xr:uid="{ECE988A5-F559-4CF6-B53A-4A58F77BBC7C}"/>
    <cellStyle name="Note 2 2 2 2 3" xfId="1423" xr:uid="{00000000-0005-0000-0000-00009C200000}"/>
    <cellStyle name="Note 2 2 2 2 3 2" xfId="3653" xr:uid="{00000000-0005-0000-0000-00009D200000}"/>
    <cellStyle name="Note 2 2 2 2 3 2 2" xfId="7876" xr:uid="{00000000-0005-0000-0000-00009E200000}"/>
    <cellStyle name="Note 2 2 2 2 3 2 2 2" xfId="16318" xr:uid="{12C95600-0217-4DF6-91DE-8AEA835B198F}"/>
    <cellStyle name="Note 2 2 2 2 3 2 3" xfId="12100" xr:uid="{1BF4518C-1227-412E-863C-DCD678394819}"/>
    <cellStyle name="Note 2 2 2 2 3 3" xfId="5731" xr:uid="{00000000-0005-0000-0000-00009F200000}"/>
    <cellStyle name="Note 2 2 2 2 3 3 2" xfId="14173" xr:uid="{A7992276-016B-4F0F-99F9-8FB5D43F59AB}"/>
    <cellStyle name="Note 2 2 2 2 3 4" xfId="9955" xr:uid="{AB26F04E-1DF6-4A12-BFD7-9DC0CFC8D7AF}"/>
    <cellStyle name="Note 2 2 2 2 4" xfId="1837" xr:uid="{00000000-0005-0000-0000-0000A0200000}"/>
    <cellStyle name="Note 2 2 2 2 4 2" xfId="4066" xr:uid="{00000000-0005-0000-0000-0000A1200000}"/>
    <cellStyle name="Note 2 2 2 2 4 2 2" xfId="8289" xr:uid="{00000000-0005-0000-0000-0000A2200000}"/>
    <cellStyle name="Note 2 2 2 2 4 2 2 2" xfId="16731" xr:uid="{63722CF9-CE1B-4C9F-B3E6-274C482DF0E8}"/>
    <cellStyle name="Note 2 2 2 2 4 2 3" xfId="12513" xr:uid="{56B2E4F8-1770-4240-BC92-01E7CB8AA388}"/>
    <cellStyle name="Note 2 2 2 2 4 3" xfId="6144" xr:uid="{00000000-0005-0000-0000-0000A3200000}"/>
    <cellStyle name="Note 2 2 2 2 4 3 2" xfId="14586" xr:uid="{B54C5017-1AC5-4E01-B1D4-72E0FF81436B}"/>
    <cellStyle name="Note 2 2 2 2 4 4" xfId="10368" xr:uid="{51CA336C-7100-478B-80E7-A52DF08AA22B}"/>
    <cellStyle name="Note 2 2 2 2 5" xfId="2250" xr:uid="{00000000-0005-0000-0000-0000A4200000}"/>
    <cellStyle name="Note 2 2 2 2 5 2" xfId="4479" xr:uid="{00000000-0005-0000-0000-0000A5200000}"/>
    <cellStyle name="Note 2 2 2 2 5 2 2" xfId="8702" xr:uid="{00000000-0005-0000-0000-0000A6200000}"/>
    <cellStyle name="Note 2 2 2 2 5 2 2 2" xfId="17144" xr:uid="{4FCED1E8-6B1C-4471-80F6-7A61D9977DBC}"/>
    <cellStyle name="Note 2 2 2 2 5 2 3" xfId="12926" xr:uid="{BF01424E-1423-434A-BABE-C3D091AEF7D4}"/>
    <cellStyle name="Note 2 2 2 2 5 3" xfId="6557" xr:uid="{00000000-0005-0000-0000-0000A7200000}"/>
    <cellStyle name="Note 2 2 2 2 5 3 2" xfId="14999" xr:uid="{39B6DA18-D2BD-4729-AB8A-31DF9449767E}"/>
    <cellStyle name="Note 2 2 2 2 5 4" xfId="10781" xr:uid="{C98DA697-9E74-4DDA-B3A8-1F2009F48B4D}"/>
    <cellStyle name="Note 2 2 2 2 6" xfId="2686" xr:uid="{00000000-0005-0000-0000-0000A8200000}"/>
    <cellStyle name="Note 2 2 2 2 6 2" xfId="6970" xr:uid="{00000000-0005-0000-0000-0000A9200000}"/>
    <cellStyle name="Note 2 2 2 2 6 2 2" xfId="15412" xr:uid="{6D00FC1B-6E06-47EB-BD96-53B45C9552F5}"/>
    <cellStyle name="Note 2 2 2 2 6 3" xfId="11194" xr:uid="{E54FFBD8-85C2-40D7-AA77-D4D62611E791}"/>
    <cellStyle name="Note 2 2 2 2 7" xfId="2745" xr:uid="{00000000-0005-0000-0000-0000AA200000}"/>
    <cellStyle name="Note 2 2 2 2 8" xfId="2826" xr:uid="{00000000-0005-0000-0000-0000AB200000}"/>
    <cellStyle name="Note 2 2 2 2 8 2" xfId="7050" xr:uid="{00000000-0005-0000-0000-0000AC200000}"/>
    <cellStyle name="Note 2 2 2 2 8 2 2" xfId="15492" xr:uid="{14DC7696-98C5-47A0-B2D0-DBAC03C55BDD}"/>
    <cellStyle name="Note 2 2 2 2 8 3" xfId="11274" xr:uid="{D2E1B6C8-16F4-4263-85CA-CFA1D3A64514}"/>
    <cellStyle name="Note 2 2 2 2 9" xfId="4905" xr:uid="{00000000-0005-0000-0000-0000AD200000}"/>
    <cellStyle name="Note 2 2 2 2 9 2" xfId="13347" xr:uid="{D6A91D43-9989-4D1A-8C05-BA1B30AC1446}"/>
    <cellStyle name="Note 2 2 2 3" xfId="1007" xr:uid="{00000000-0005-0000-0000-0000AE200000}"/>
    <cellStyle name="Note 2 2 2 3 2" xfId="3239" xr:uid="{00000000-0005-0000-0000-0000AF200000}"/>
    <cellStyle name="Note 2 2 2 3 2 2" xfId="7462" xr:uid="{00000000-0005-0000-0000-0000B0200000}"/>
    <cellStyle name="Note 2 2 2 3 2 2 2" xfId="15904" xr:uid="{25ABD1C6-761E-4E11-A035-9113293A7BD5}"/>
    <cellStyle name="Note 2 2 2 3 2 3" xfId="11686" xr:uid="{9C93A769-E2AA-44D4-9922-58127A91CBAE}"/>
    <cellStyle name="Note 2 2 2 3 3" xfId="5317" xr:uid="{00000000-0005-0000-0000-0000B1200000}"/>
    <cellStyle name="Note 2 2 2 3 3 2" xfId="13759" xr:uid="{A286F14E-9654-4BD8-A190-F0BFCC1C88BC}"/>
    <cellStyle name="Note 2 2 2 3 4" xfId="9541" xr:uid="{C99FBF27-C70F-442A-B334-5B9AC1D3FD3E}"/>
    <cellStyle name="Note 2 2 2 4" xfId="1422" xr:uid="{00000000-0005-0000-0000-0000B2200000}"/>
    <cellStyle name="Note 2 2 2 4 2" xfId="3652" xr:uid="{00000000-0005-0000-0000-0000B3200000}"/>
    <cellStyle name="Note 2 2 2 4 2 2" xfId="7875" xr:uid="{00000000-0005-0000-0000-0000B4200000}"/>
    <cellStyle name="Note 2 2 2 4 2 2 2" xfId="16317" xr:uid="{285E63A6-35D5-4EB3-B095-EFDF4B68CC83}"/>
    <cellStyle name="Note 2 2 2 4 2 3" xfId="12099" xr:uid="{612A5DAE-CCFA-400B-9FE0-4C03CD865504}"/>
    <cellStyle name="Note 2 2 2 4 3" xfId="5730" xr:uid="{00000000-0005-0000-0000-0000B5200000}"/>
    <cellStyle name="Note 2 2 2 4 3 2" xfId="14172" xr:uid="{F81401FF-A80B-4758-9F29-A039BBD07145}"/>
    <cellStyle name="Note 2 2 2 4 4" xfId="9954" xr:uid="{8DE547AB-C4FF-465E-9FE9-194A68CC6AF7}"/>
    <cellStyle name="Note 2 2 2 5" xfId="1836" xr:uid="{00000000-0005-0000-0000-0000B6200000}"/>
    <cellStyle name="Note 2 2 2 5 2" xfId="4065" xr:uid="{00000000-0005-0000-0000-0000B7200000}"/>
    <cellStyle name="Note 2 2 2 5 2 2" xfId="8288" xr:uid="{00000000-0005-0000-0000-0000B8200000}"/>
    <cellStyle name="Note 2 2 2 5 2 2 2" xfId="16730" xr:uid="{96E34E4C-411B-4E52-BC23-490051CACC14}"/>
    <cellStyle name="Note 2 2 2 5 2 3" xfId="12512" xr:uid="{B4066AE9-97E5-4870-A89E-7CBCB715F1A9}"/>
    <cellStyle name="Note 2 2 2 5 3" xfId="6143" xr:uid="{00000000-0005-0000-0000-0000B9200000}"/>
    <cellStyle name="Note 2 2 2 5 3 2" xfId="14585" xr:uid="{EB9EBD91-487B-4562-8C95-F044C5AC1886}"/>
    <cellStyle name="Note 2 2 2 5 4" xfId="10367" xr:uid="{EE0138A6-9437-47DD-A062-97F3603135B0}"/>
    <cellStyle name="Note 2 2 2 6" xfId="2249" xr:uid="{00000000-0005-0000-0000-0000BA200000}"/>
    <cellStyle name="Note 2 2 2 6 2" xfId="4478" xr:uid="{00000000-0005-0000-0000-0000BB200000}"/>
    <cellStyle name="Note 2 2 2 6 2 2" xfId="8701" xr:uid="{00000000-0005-0000-0000-0000BC200000}"/>
    <cellStyle name="Note 2 2 2 6 2 2 2" xfId="17143" xr:uid="{C5EE1487-96A9-4743-8472-13926FDFB09E}"/>
    <cellStyle name="Note 2 2 2 6 2 3" xfId="12925" xr:uid="{652F7F0F-F457-4B13-9EFB-C42FB7C62683}"/>
    <cellStyle name="Note 2 2 2 6 3" xfId="6556" xr:uid="{00000000-0005-0000-0000-0000BD200000}"/>
    <cellStyle name="Note 2 2 2 6 3 2" xfId="14998" xr:uid="{56E90B54-39C0-4522-99F4-14CFB1EBDCB0}"/>
    <cellStyle name="Note 2 2 2 6 4" xfId="10780" xr:uid="{2112F95C-4CCA-4E88-94C1-65D9F26E09EB}"/>
    <cellStyle name="Note 2 2 2 7" xfId="2685" xr:uid="{00000000-0005-0000-0000-0000BE200000}"/>
    <cellStyle name="Note 2 2 2 7 2" xfId="6969" xr:uid="{00000000-0005-0000-0000-0000BF200000}"/>
    <cellStyle name="Note 2 2 2 7 2 2" xfId="15411" xr:uid="{425DEC63-F0F5-4087-B2E2-0FE9A50E5870}"/>
    <cellStyle name="Note 2 2 2 7 3" xfId="11193" xr:uid="{7346DD11-E7D9-4000-B0E7-4973E3372738}"/>
    <cellStyle name="Note 2 2 2 8" xfId="2744" xr:uid="{00000000-0005-0000-0000-0000C0200000}"/>
    <cellStyle name="Note 2 2 2 9" xfId="2825" xr:uid="{00000000-0005-0000-0000-0000C1200000}"/>
    <cellStyle name="Note 2 2 2 9 2" xfId="7049" xr:uid="{00000000-0005-0000-0000-0000C2200000}"/>
    <cellStyle name="Note 2 2 2 9 2 2" xfId="15491" xr:uid="{BAAF02CB-4EA5-426D-B077-0797042118A7}"/>
    <cellStyle name="Note 2 2 2 9 3" xfId="11273" xr:uid="{F61C2866-457E-4807-9727-7E994E4E40A8}"/>
    <cellStyle name="Note 2 2 3" xfId="548" xr:uid="{00000000-0005-0000-0000-0000C3200000}"/>
    <cellStyle name="Note 2 2 3 10" xfId="9130" xr:uid="{77A03F96-5D69-4E72-B27D-771DD72DC42C}"/>
    <cellStyle name="Note 2 2 3 2" xfId="1009" xr:uid="{00000000-0005-0000-0000-0000C4200000}"/>
    <cellStyle name="Note 2 2 3 2 2" xfId="3241" xr:uid="{00000000-0005-0000-0000-0000C5200000}"/>
    <cellStyle name="Note 2 2 3 2 2 2" xfId="7464" xr:uid="{00000000-0005-0000-0000-0000C6200000}"/>
    <cellStyle name="Note 2 2 3 2 2 2 2" xfId="15906" xr:uid="{53894C5F-B623-49CE-911C-ECD615BC8926}"/>
    <cellStyle name="Note 2 2 3 2 2 3" xfId="11688" xr:uid="{339A8962-4A32-4EE1-BFA5-C3FF144CDF1C}"/>
    <cellStyle name="Note 2 2 3 2 3" xfId="5319" xr:uid="{00000000-0005-0000-0000-0000C7200000}"/>
    <cellStyle name="Note 2 2 3 2 3 2" xfId="13761" xr:uid="{F0A9C1F5-214C-4E3A-8AE6-508A39037F66}"/>
    <cellStyle name="Note 2 2 3 2 4" xfId="9543" xr:uid="{85BF528D-6080-46E1-A1D3-ED71FEAE718C}"/>
    <cellStyle name="Note 2 2 3 3" xfId="1424" xr:uid="{00000000-0005-0000-0000-0000C8200000}"/>
    <cellStyle name="Note 2 2 3 3 2" xfId="3654" xr:uid="{00000000-0005-0000-0000-0000C9200000}"/>
    <cellStyle name="Note 2 2 3 3 2 2" xfId="7877" xr:uid="{00000000-0005-0000-0000-0000CA200000}"/>
    <cellStyle name="Note 2 2 3 3 2 2 2" xfId="16319" xr:uid="{ADF7E7EC-12C5-45AA-AA73-D84BF1E42B5A}"/>
    <cellStyle name="Note 2 2 3 3 2 3" xfId="12101" xr:uid="{1A0902FE-39FE-43FE-B7D3-0AA40808D72D}"/>
    <cellStyle name="Note 2 2 3 3 3" xfId="5732" xr:uid="{00000000-0005-0000-0000-0000CB200000}"/>
    <cellStyle name="Note 2 2 3 3 3 2" xfId="14174" xr:uid="{9BC105A9-BDCC-4CC6-A266-9C9A06DB7629}"/>
    <cellStyle name="Note 2 2 3 3 4" xfId="9956" xr:uid="{9FC97DDD-F60E-4E08-A873-772376DC7464}"/>
    <cellStyle name="Note 2 2 3 4" xfId="1838" xr:uid="{00000000-0005-0000-0000-0000CC200000}"/>
    <cellStyle name="Note 2 2 3 4 2" xfId="4067" xr:uid="{00000000-0005-0000-0000-0000CD200000}"/>
    <cellStyle name="Note 2 2 3 4 2 2" xfId="8290" xr:uid="{00000000-0005-0000-0000-0000CE200000}"/>
    <cellStyle name="Note 2 2 3 4 2 2 2" xfId="16732" xr:uid="{119E3ECA-003E-4CC6-B3CD-1EDDD3AED6B4}"/>
    <cellStyle name="Note 2 2 3 4 2 3" xfId="12514" xr:uid="{358743DB-57DD-48F6-96B6-5FA6E7CE165F}"/>
    <cellStyle name="Note 2 2 3 4 3" xfId="6145" xr:uid="{00000000-0005-0000-0000-0000CF200000}"/>
    <cellStyle name="Note 2 2 3 4 3 2" xfId="14587" xr:uid="{3A16C614-D730-4647-8353-3577D63AD85E}"/>
    <cellStyle name="Note 2 2 3 4 4" xfId="10369" xr:uid="{3A55512A-9116-42E5-AC30-4F107E3AAF9B}"/>
    <cellStyle name="Note 2 2 3 5" xfId="2251" xr:uid="{00000000-0005-0000-0000-0000D0200000}"/>
    <cellStyle name="Note 2 2 3 5 2" xfId="4480" xr:uid="{00000000-0005-0000-0000-0000D1200000}"/>
    <cellStyle name="Note 2 2 3 5 2 2" xfId="8703" xr:uid="{00000000-0005-0000-0000-0000D2200000}"/>
    <cellStyle name="Note 2 2 3 5 2 2 2" xfId="17145" xr:uid="{02BB4265-3B9D-4786-971E-D7CEF617F6E6}"/>
    <cellStyle name="Note 2 2 3 5 2 3" xfId="12927" xr:uid="{9CF54BE8-0FD9-4301-B0BD-9935FA170C4F}"/>
    <cellStyle name="Note 2 2 3 5 3" xfId="6558" xr:uid="{00000000-0005-0000-0000-0000D3200000}"/>
    <cellStyle name="Note 2 2 3 5 3 2" xfId="15000" xr:uid="{CB8F2FC6-C3FC-4883-8648-44C255C30F90}"/>
    <cellStyle name="Note 2 2 3 5 4" xfId="10782" xr:uid="{B2B6E44C-6A33-4F0A-AFB1-88210FB3D5E7}"/>
    <cellStyle name="Note 2 2 3 6" xfId="2687" xr:uid="{00000000-0005-0000-0000-0000D4200000}"/>
    <cellStyle name="Note 2 2 3 6 2" xfId="6971" xr:uid="{00000000-0005-0000-0000-0000D5200000}"/>
    <cellStyle name="Note 2 2 3 6 2 2" xfId="15413" xr:uid="{8D7CE96E-ADBB-4491-A722-0344806DC04C}"/>
    <cellStyle name="Note 2 2 3 6 3" xfId="11195" xr:uid="{6FF2C5E5-F144-415B-8F81-6638DE987FD4}"/>
    <cellStyle name="Note 2 2 3 7" xfId="2746" xr:uid="{00000000-0005-0000-0000-0000D6200000}"/>
    <cellStyle name="Note 2 2 3 8" xfId="2827" xr:uid="{00000000-0005-0000-0000-0000D7200000}"/>
    <cellStyle name="Note 2 2 3 8 2" xfId="7051" xr:uid="{00000000-0005-0000-0000-0000D8200000}"/>
    <cellStyle name="Note 2 2 3 8 2 2" xfId="15493" xr:uid="{AFC036CE-CC3C-4A6E-B186-2F845B745FC0}"/>
    <cellStyle name="Note 2 2 3 8 3" xfId="11275" xr:uid="{66EE8C99-DD6B-4698-AF18-C625045A7791}"/>
    <cellStyle name="Note 2 2 3 9" xfId="4906" xr:uid="{00000000-0005-0000-0000-0000D9200000}"/>
    <cellStyle name="Note 2 2 3 9 2" xfId="13348" xr:uid="{86A8567A-0A04-4D47-85AF-0E638B258AA4}"/>
    <cellStyle name="Note 2 2 4" xfId="1006" xr:uid="{00000000-0005-0000-0000-0000DA200000}"/>
    <cellStyle name="Note 2 2 4 2" xfId="3238" xr:uid="{00000000-0005-0000-0000-0000DB200000}"/>
    <cellStyle name="Note 2 2 4 2 2" xfId="7461" xr:uid="{00000000-0005-0000-0000-0000DC200000}"/>
    <cellStyle name="Note 2 2 4 2 2 2" xfId="15903" xr:uid="{F5EAEF8F-C4F1-418C-98BF-F5855FAEB340}"/>
    <cellStyle name="Note 2 2 4 2 3" xfId="11685" xr:uid="{3494F470-BAF7-4FE9-8ED2-8ABEE337DF6C}"/>
    <cellStyle name="Note 2 2 4 3" xfId="5316" xr:uid="{00000000-0005-0000-0000-0000DD200000}"/>
    <cellStyle name="Note 2 2 4 3 2" xfId="13758" xr:uid="{A70065DA-C0BE-4209-8EEF-999590DCB1C6}"/>
    <cellStyle name="Note 2 2 4 4" xfId="9540" xr:uid="{A1A03EDF-B87B-4ED5-A22B-ECD64CFE10D4}"/>
    <cellStyle name="Note 2 2 5" xfId="1421" xr:uid="{00000000-0005-0000-0000-0000DE200000}"/>
    <cellStyle name="Note 2 2 5 2" xfId="3651" xr:uid="{00000000-0005-0000-0000-0000DF200000}"/>
    <cellStyle name="Note 2 2 5 2 2" xfId="7874" xr:uid="{00000000-0005-0000-0000-0000E0200000}"/>
    <cellStyle name="Note 2 2 5 2 2 2" xfId="16316" xr:uid="{8A3D03B0-1B65-44A4-B1B3-0CB56D4D9A1B}"/>
    <cellStyle name="Note 2 2 5 2 3" xfId="12098" xr:uid="{37A015F6-7516-4F52-ACDA-F46FF639FE42}"/>
    <cellStyle name="Note 2 2 5 3" xfId="5729" xr:uid="{00000000-0005-0000-0000-0000E1200000}"/>
    <cellStyle name="Note 2 2 5 3 2" xfId="14171" xr:uid="{0C6C8639-C681-49C8-95AE-CCB49B472F4D}"/>
    <cellStyle name="Note 2 2 5 4" xfId="9953" xr:uid="{CFDD71DF-EBD8-4050-8468-9B6F216D7E54}"/>
    <cellStyle name="Note 2 2 6" xfId="1835" xr:uid="{00000000-0005-0000-0000-0000E2200000}"/>
    <cellStyle name="Note 2 2 6 2" xfId="4064" xr:uid="{00000000-0005-0000-0000-0000E3200000}"/>
    <cellStyle name="Note 2 2 6 2 2" xfId="8287" xr:uid="{00000000-0005-0000-0000-0000E4200000}"/>
    <cellStyle name="Note 2 2 6 2 2 2" xfId="16729" xr:uid="{F0B9A6DD-11AF-4F16-825C-253C07E095D8}"/>
    <cellStyle name="Note 2 2 6 2 3" xfId="12511" xr:uid="{3424634A-A88E-409C-8D50-55F4336018C6}"/>
    <cellStyle name="Note 2 2 6 3" xfId="6142" xr:uid="{00000000-0005-0000-0000-0000E5200000}"/>
    <cellStyle name="Note 2 2 6 3 2" xfId="14584" xr:uid="{85D2E5B0-0ED1-43D2-AB8B-E67873A5D56E}"/>
    <cellStyle name="Note 2 2 6 4" xfId="10366" xr:uid="{84403C0D-FCFF-43E7-BC38-7457C31F98AA}"/>
    <cellStyle name="Note 2 2 7" xfId="2248" xr:uid="{00000000-0005-0000-0000-0000E6200000}"/>
    <cellStyle name="Note 2 2 7 2" xfId="4477" xr:uid="{00000000-0005-0000-0000-0000E7200000}"/>
    <cellStyle name="Note 2 2 7 2 2" xfId="8700" xr:uid="{00000000-0005-0000-0000-0000E8200000}"/>
    <cellStyle name="Note 2 2 7 2 2 2" xfId="17142" xr:uid="{7C6C1C8B-3744-4B53-AB0A-83F18168086B}"/>
    <cellStyle name="Note 2 2 7 2 3" xfId="12924" xr:uid="{86F65571-F5CE-43E4-A4F1-77670EA6BD22}"/>
    <cellStyle name="Note 2 2 7 3" xfId="6555" xr:uid="{00000000-0005-0000-0000-0000E9200000}"/>
    <cellStyle name="Note 2 2 7 3 2" xfId="14997" xr:uid="{A31544E0-BA0A-45F5-AB1E-85BEBAC36D27}"/>
    <cellStyle name="Note 2 2 7 4" xfId="10779" xr:uid="{D9BA273B-77F5-44C6-8857-799B2C0BFD58}"/>
    <cellStyle name="Note 2 2 8" xfId="2684" xr:uid="{00000000-0005-0000-0000-0000EA200000}"/>
    <cellStyle name="Note 2 2 8 2" xfId="6968" xr:uid="{00000000-0005-0000-0000-0000EB200000}"/>
    <cellStyle name="Note 2 2 8 2 2" xfId="15410" xr:uid="{B2DE286F-6F7A-4B01-853C-BA2568C66549}"/>
    <cellStyle name="Note 2 2 8 3" xfId="11192" xr:uid="{CBA09800-8ACE-44BC-A11B-C604BA1CAF64}"/>
    <cellStyle name="Note 2 2 9" xfId="2743" xr:uid="{00000000-0005-0000-0000-0000EC200000}"/>
    <cellStyle name="Note 2 3" xfId="549" xr:uid="{00000000-0005-0000-0000-0000ED200000}"/>
    <cellStyle name="Note 2 3 10" xfId="4907" xr:uid="{00000000-0005-0000-0000-0000EE200000}"/>
    <cellStyle name="Note 2 3 10 2" xfId="13349" xr:uid="{6C3C46AA-1A5E-4F60-BD5F-A450C3A4BE70}"/>
    <cellStyle name="Note 2 3 11" xfId="9131" xr:uid="{3333D14A-B39B-4DD2-AEE5-C32D6061DB3D}"/>
    <cellStyle name="Note 2 3 2" xfId="550" xr:uid="{00000000-0005-0000-0000-0000EF200000}"/>
    <cellStyle name="Note 2 3 2 10" xfId="9132" xr:uid="{3DDE5E41-5CF3-400A-9264-60DB0BB0CF52}"/>
    <cellStyle name="Note 2 3 2 2" xfId="1011" xr:uid="{00000000-0005-0000-0000-0000F0200000}"/>
    <cellStyle name="Note 2 3 2 2 2" xfId="3243" xr:uid="{00000000-0005-0000-0000-0000F1200000}"/>
    <cellStyle name="Note 2 3 2 2 2 2" xfId="7466" xr:uid="{00000000-0005-0000-0000-0000F2200000}"/>
    <cellStyle name="Note 2 3 2 2 2 2 2" xfId="15908" xr:uid="{7151FB48-B410-425A-A4B5-7430CA2861DE}"/>
    <cellStyle name="Note 2 3 2 2 2 3" xfId="11690" xr:uid="{444CC3CD-3C8D-4D08-84F2-734BD726C167}"/>
    <cellStyle name="Note 2 3 2 2 3" xfId="5321" xr:uid="{00000000-0005-0000-0000-0000F3200000}"/>
    <cellStyle name="Note 2 3 2 2 3 2" xfId="13763" xr:uid="{64109687-0029-47C6-969F-B9FF4D5EB369}"/>
    <cellStyle name="Note 2 3 2 2 4" xfId="9545" xr:uid="{5A5C7AE0-4C42-4250-B76D-8923C6AC2638}"/>
    <cellStyle name="Note 2 3 2 3" xfId="1426" xr:uid="{00000000-0005-0000-0000-0000F4200000}"/>
    <cellStyle name="Note 2 3 2 3 2" xfId="3656" xr:uid="{00000000-0005-0000-0000-0000F5200000}"/>
    <cellStyle name="Note 2 3 2 3 2 2" xfId="7879" xr:uid="{00000000-0005-0000-0000-0000F6200000}"/>
    <cellStyle name="Note 2 3 2 3 2 2 2" xfId="16321" xr:uid="{4CFC3892-0903-4176-A99D-D6E6D1BCFADE}"/>
    <cellStyle name="Note 2 3 2 3 2 3" xfId="12103" xr:uid="{3DFC736F-3BC8-41AF-B350-C644B5FF9F78}"/>
    <cellStyle name="Note 2 3 2 3 3" xfId="5734" xr:uid="{00000000-0005-0000-0000-0000F7200000}"/>
    <cellStyle name="Note 2 3 2 3 3 2" xfId="14176" xr:uid="{DA7F878E-9CEF-4F88-9C9C-92206A0766D5}"/>
    <cellStyle name="Note 2 3 2 3 4" xfId="9958" xr:uid="{E98EFD76-0457-48EB-A171-A94F1CAC108B}"/>
    <cellStyle name="Note 2 3 2 4" xfId="1840" xr:uid="{00000000-0005-0000-0000-0000F8200000}"/>
    <cellStyle name="Note 2 3 2 4 2" xfId="4069" xr:uid="{00000000-0005-0000-0000-0000F9200000}"/>
    <cellStyle name="Note 2 3 2 4 2 2" xfId="8292" xr:uid="{00000000-0005-0000-0000-0000FA200000}"/>
    <cellStyle name="Note 2 3 2 4 2 2 2" xfId="16734" xr:uid="{0AF96372-E139-42AC-8B45-206896397418}"/>
    <cellStyle name="Note 2 3 2 4 2 3" xfId="12516" xr:uid="{888E4016-713F-4C24-A464-58F54FBA3738}"/>
    <cellStyle name="Note 2 3 2 4 3" xfId="6147" xr:uid="{00000000-0005-0000-0000-0000FB200000}"/>
    <cellStyle name="Note 2 3 2 4 3 2" xfId="14589" xr:uid="{2D5261F9-1ABC-43FF-B98B-BE5052954336}"/>
    <cellStyle name="Note 2 3 2 4 4" xfId="10371" xr:uid="{2D2925FD-D727-47F3-9E4D-395728E4A40C}"/>
    <cellStyle name="Note 2 3 2 5" xfId="2253" xr:uid="{00000000-0005-0000-0000-0000FC200000}"/>
    <cellStyle name="Note 2 3 2 5 2" xfId="4482" xr:uid="{00000000-0005-0000-0000-0000FD200000}"/>
    <cellStyle name="Note 2 3 2 5 2 2" xfId="8705" xr:uid="{00000000-0005-0000-0000-0000FE200000}"/>
    <cellStyle name="Note 2 3 2 5 2 2 2" xfId="17147" xr:uid="{D1D24CF6-A70A-48C7-8CE7-6AAFE524EAD5}"/>
    <cellStyle name="Note 2 3 2 5 2 3" xfId="12929" xr:uid="{C3556D36-EDD3-448F-91DA-12B7E36FF5E5}"/>
    <cellStyle name="Note 2 3 2 5 3" xfId="6560" xr:uid="{00000000-0005-0000-0000-0000FF200000}"/>
    <cellStyle name="Note 2 3 2 5 3 2" xfId="15002" xr:uid="{AA672DB7-EB09-471E-AE3F-48527E70F75D}"/>
    <cellStyle name="Note 2 3 2 5 4" xfId="10784" xr:uid="{7D22150D-8CDC-4DC5-AA19-196A96ABE155}"/>
    <cellStyle name="Note 2 3 2 6" xfId="2689" xr:uid="{00000000-0005-0000-0000-000000210000}"/>
    <cellStyle name="Note 2 3 2 6 2" xfId="6973" xr:uid="{00000000-0005-0000-0000-000001210000}"/>
    <cellStyle name="Note 2 3 2 6 2 2" xfId="15415" xr:uid="{C4D3F7A5-8830-48B2-B197-24DE6FE99D1F}"/>
    <cellStyle name="Note 2 3 2 6 3" xfId="11197" xr:uid="{9284E97A-F9C4-41FA-AB2C-DD09E5AB8CE7}"/>
    <cellStyle name="Note 2 3 2 7" xfId="2748" xr:uid="{00000000-0005-0000-0000-000002210000}"/>
    <cellStyle name="Note 2 3 2 8" xfId="2829" xr:uid="{00000000-0005-0000-0000-000003210000}"/>
    <cellStyle name="Note 2 3 2 8 2" xfId="7053" xr:uid="{00000000-0005-0000-0000-000004210000}"/>
    <cellStyle name="Note 2 3 2 8 2 2" xfId="15495" xr:uid="{89DCDF5C-C6E9-4D8B-9D6A-F9C50C7D495C}"/>
    <cellStyle name="Note 2 3 2 8 3" xfId="11277" xr:uid="{3800B7DA-ACC9-442C-B3CD-8D0D4AEEA240}"/>
    <cellStyle name="Note 2 3 2 9" xfId="4908" xr:uid="{00000000-0005-0000-0000-000005210000}"/>
    <cellStyle name="Note 2 3 2 9 2" xfId="13350" xr:uid="{C3B21DD0-ED0A-4995-AF28-9A852486CB78}"/>
    <cellStyle name="Note 2 3 3" xfId="1010" xr:uid="{00000000-0005-0000-0000-000006210000}"/>
    <cellStyle name="Note 2 3 3 2" xfId="3242" xr:uid="{00000000-0005-0000-0000-000007210000}"/>
    <cellStyle name="Note 2 3 3 2 2" xfId="7465" xr:uid="{00000000-0005-0000-0000-000008210000}"/>
    <cellStyle name="Note 2 3 3 2 2 2" xfId="15907" xr:uid="{53D72717-7993-474F-9B5C-8F6817C2AEC9}"/>
    <cellStyle name="Note 2 3 3 2 3" xfId="11689" xr:uid="{35C2BA88-AA2E-4474-A6FE-8DAEC28A72AA}"/>
    <cellStyle name="Note 2 3 3 3" xfId="5320" xr:uid="{00000000-0005-0000-0000-000009210000}"/>
    <cellStyle name="Note 2 3 3 3 2" xfId="13762" xr:uid="{4AF0B1B8-5917-4041-93E2-FA1D9B8996E7}"/>
    <cellStyle name="Note 2 3 3 4" xfId="9544" xr:uid="{A773A22D-24C2-4D43-BC73-5B47569B747A}"/>
    <cellStyle name="Note 2 3 4" xfId="1425" xr:uid="{00000000-0005-0000-0000-00000A210000}"/>
    <cellStyle name="Note 2 3 4 2" xfId="3655" xr:uid="{00000000-0005-0000-0000-00000B210000}"/>
    <cellStyle name="Note 2 3 4 2 2" xfId="7878" xr:uid="{00000000-0005-0000-0000-00000C210000}"/>
    <cellStyle name="Note 2 3 4 2 2 2" xfId="16320" xr:uid="{C967FF20-D6FA-463D-81DB-0ECBD517B6C2}"/>
    <cellStyle name="Note 2 3 4 2 3" xfId="12102" xr:uid="{48A0A96B-E17B-40BE-905A-1D036480AE67}"/>
    <cellStyle name="Note 2 3 4 3" xfId="5733" xr:uid="{00000000-0005-0000-0000-00000D210000}"/>
    <cellStyle name="Note 2 3 4 3 2" xfId="14175" xr:uid="{84A16349-FB58-4921-BB35-8FEC6ACFCEB8}"/>
    <cellStyle name="Note 2 3 4 4" xfId="9957" xr:uid="{04BF7F08-8330-4380-99AE-C68AB17CC02A}"/>
    <cellStyle name="Note 2 3 5" xfId="1839" xr:uid="{00000000-0005-0000-0000-00000E210000}"/>
    <cellStyle name="Note 2 3 5 2" xfId="4068" xr:uid="{00000000-0005-0000-0000-00000F210000}"/>
    <cellStyle name="Note 2 3 5 2 2" xfId="8291" xr:uid="{00000000-0005-0000-0000-000010210000}"/>
    <cellStyle name="Note 2 3 5 2 2 2" xfId="16733" xr:uid="{324B83D1-E2CC-422D-9F90-5246300FE3DE}"/>
    <cellStyle name="Note 2 3 5 2 3" xfId="12515" xr:uid="{3E44C74A-9F73-4F06-B838-9231CB5E8626}"/>
    <cellStyle name="Note 2 3 5 3" xfId="6146" xr:uid="{00000000-0005-0000-0000-000011210000}"/>
    <cellStyle name="Note 2 3 5 3 2" xfId="14588" xr:uid="{9287CE97-E853-48D3-B174-8A87DA1BBD77}"/>
    <cellStyle name="Note 2 3 5 4" xfId="10370" xr:uid="{BD0293AC-E11F-4F57-BBED-72F8AF0EE5D3}"/>
    <cellStyle name="Note 2 3 6" xfId="2252" xr:uid="{00000000-0005-0000-0000-000012210000}"/>
    <cellStyle name="Note 2 3 6 2" xfId="4481" xr:uid="{00000000-0005-0000-0000-000013210000}"/>
    <cellStyle name="Note 2 3 6 2 2" xfId="8704" xr:uid="{00000000-0005-0000-0000-000014210000}"/>
    <cellStyle name="Note 2 3 6 2 2 2" xfId="17146" xr:uid="{C1C80E7E-DA19-413C-8252-57AF54F97388}"/>
    <cellStyle name="Note 2 3 6 2 3" xfId="12928" xr:uid="{A259B083-87EA-4594-B5EB-F3660176DDE9}"/>
    <cellStyle name="Note 2 3 6 3" xfId="6559" xr:uid="{00000000-0005-0000-0000-000015210000}"/>
    <cellStyle name="Note 2 3 6 3 2" xfId="15001" xr:uid="{3A4714A8-A5ED-4FC4-BA23-B0A553A7918E}"/>
    <cellStyle name="Note 2 3 6 4" xfId="10783" xr:uid="{0DB11DFB-48C5-4629-BBB0-A4917F29E964}"/>
    <cellStyle name="Note 2 3 7" xfId="2688" xr:uid="{00000000-0005-0000-0000-000016210000}"/>
    <cellStyle name="Note 2 3 7 2" xfId="6972" xr:uid="{00000000-0005-0000-0000-000017210000}"/>
    <cellStyle name="Note 2 3 7 2 2" xfId="15414" xr:uid="{0418E2E7-A175-478B-BE16-4EEAA5ABF386}"/>
    <cellStyle name="Note 2 3 7 3" xfId="11196" xr:uid="{0B30E96A-0504-4E6F-B75A-F5A17246872A}"/>
    <cellStyle name="Note 2 3 8" xfId="2747" xr:uid="{00000000-0005-0000-0000-000018210000}"/>
    <cellStyle name="Note 2 3 9" xfId="2828" xr:uid="{00000000-0005-0000-0000-000019210000}"/>
    <cellStyle name="Note 2 3 9 2" xfId="7052" xr:uid="{00000000-0005-0000-0000-00001A210000}"/>
    <cellStyle name="Note 2 3 9 2 2" xfId="15494" xr:uid="{1D41B465-1C56-4580-89EB-998CBCC03E51}"/>
    <cellStyle name="Note 2 3 9 3" xfId="11276" xr:uid="{E5C7E79E-13CF-4C90-A79F-37B06769CB71}"/>
    <cellStyle name="Note 2 4" xfId="551" xr:uid="{00000000-0005-0000-0000-00001B210000}"/>
    <cellStyle name="Note 2 4 10" xfId="9133" xr:uid="{75885D29-2B43-41D3-972A-DEEDE7819803}"/>
    <cellStyle name="Note 2 4 2" xfId="1012" xr:uid="{00000000-0005-0000-0000-00001C210000}"/>
    <cellStyle name="Note 2 4 2 2" xfId="3244" xr:uid="{00000000-0005-0000-0000-00001D210000}"/>
    <cellStyle name="Note 2 4 2 2 2" xfId="7467" xr:uid="{00000000-0005-0000-0000-00001E210000}"/>
    <cellStyle name="Note 2 4 2 2 2 2" xfId="15909" xr:uid="{1BAADEE8-96D7-4802-A7A4-3834891F7253}"/>
    <cellStyle name="Note 2 4 2 2 3" xfId="11691" xr:uid="{9F563E98-760B-4264-BAE4-0DF34FDB64D0}"/>
    <cellStyle name="Note 2 4 2 3" xfId="5322" xr:uid="{00000000-0005-0000-0000-00001F210000}"/>
    <cellStyle name="Note 2 4 2 3 2" xfId="13764" xr:uid="{90E0A657-3838-45E7-B448-865A23478D55}"/>
    <cellStyle name="Note 2 4 2 4" xfId="9546" xr:uid="{E78FEFE4-377C-48FA-93DB-09418E6B7867}"/>
    <cellStyle name="Note 2 4 3" xfId="1427" xr:uid="{00000000-0005-0000-0000-000020210000}"/>
    <cellStyle name="Note 2 4 3 2" xfId="3657" xr:uid="{00000000-0005-0000-0000-000021210000}"/>
    <cellStyle name="Note 2 4 3 2 2" xfId="7880" xr:uid="{00000000-0005-0000-0000-000022210000}"/>
    <cellStyle name="Note 2 4 3 2 2 2" xfId="16322" xr:uid="{C4ED106E-0828-4D07-BA7C-A7984AAC6337}"/>
    <cellStyle name="Note 2 4 3 2 3" xfId="12104" xr:uid="{017B09EC-BDE5-4F5E-997D-01DB9B6459E7}"/>
    <cellStyle name="Note 2 4 3 3" xfId="5735" xr:uid="{00000000-0005-0000-0000-000023210000}"/>
    <cellStyle name="Note 2 4 3 3 2" xfId="14177" xr:uid="{115DB07C-4797-4BB0-9F6A-A633CD3D3E82}"/>
    <cellStyle name="Note 2 4 3 4" xfId="9959" xr:uid="{AC8C95BE-E54F-4866-ABF5-41E0BE77275C}"/>
    <cellStyle name="Note 2 4 4" xfId="1841" xr:uid="{00000000-0005-0000-0000-000024210000}"/>
    <cellStyle name="Note 2 4 4 2" xfId="4070" xr:uid="{00000000-0005-0000-0000-000025210000}"/>
    <cellStyle name="Note 2 4 4 2 2" xfId="8293" xr:uid="{00000000-0005-0000-0000-000026210000}"/>
    <cellStyle name="Note 2 4 4 2 2 2" xfId="16735" xr:uid="{3D161F48-0753-4C15-9092-3A18E471AE13}"/>
    <cellStyle name="Note 2 4 4 2 3" xfId="12517" xr:uid="{1AE80729-60B7-4BA5-9121-F683C39BA58C}"/>
    <cellStyle name="Note 2 4 4 3" xfId="6148" xr:uid="{00000000-0005-0000-0000-000027210000}"/>
    <cellStyle name="Note 2 4 4 3 2" xfId="14590" xr:uid="{AACDE65B-C15A-4C46-9DAA-5B14658AFE5F}"/>
    <cellStyle name="Note 2 4 4 4" xfId="10372" xr:uid="{104284A5-3B60-4806-A518-F56286A94DC9}"/>
    <cellStyle name="Note 2 4 5" xfId="2254" xr:uid="{00000000-0005-0000-0000-000028210000}"/>
    <cellStyle name="Note 2 4 5 2" xfId="4483" xr:uid="{00000000-0005-0000-0000-000029210000}"/>
    <cellStyle name="Note 2 4 5 2 2" xfId="8706" xr:uid="{00000000-0005-0000-0000-00002A210000}"/>
    <cellStyle name="Note 2 4 5 2 2 2" xfId="17148" xr:uid="{D4DB39AB-94B1-4006-9ACB-2A1F7D065474}"/>
    <cellStyle name="Note 2 4 5 2 3" xfId="12930" xr:uid="{482356B8-6988-4774-8A8D-BB9AECCF03C3}"/>
    <cellStyle name="Note 2 4 5 3" xfId="6561" xr:uid="{00000000-0005-0000-0000-00002B210000}"/>
    <cellStyle name="Note 2 4 5 3 2" xfId="15003" xr:uid="{0DCF3DEC-81AA-4517-8520-4A4828811866}"/>
    <cellStyle name="Note 2 4 5 4" xfId="10785" xr:uid="{8CF68F34-3C13-4565-80AF-C133AB9DE9A6}"/>
    <cellStyle name="Note 2 4 6" xfId="2690" xr:uid="{00000000-0005-0000-0000-00002C210000}"/>
    <cellStyle name="Note 2 4 6 2" xfId="6974" xr:uid="{00000000-0005-0000-0000-00002D210000}"/>
    <cellStyle name="Note 2 4 6 2 2" xfId="15416" xr:uid="{9F04DA8E-4627-49F5-9042-02FD82D48B88}"/>
    <cellStyle name="Note 2 4 6 3" xfId="11198" xr:uid="{6553D660-F595-4403-8E18-ABBF798B71AD}"/>
    <cellStyle name="Note 2 4 7" xfId="2749" xr:uid="{00000000-0005-0000-0000-00002E210000}"/>
    <cellStyle name="Note 2 4 8" xfId="2830" xr:uid="{00000000-0005-0000-0000-00002F210000}"/>
    <cellStyle name="Note 2 4 8 2" xfId="7054" xr:uid="{00000000-0005-0000-0000-000030210000}"/>
    <cellStyle name="Note 2 4 8 2 2" xfId="15496" xr:uid="{81277A32-7ABE-46BD-BF23-FB2C41813DCB}"/>
    <cellStyle name="Note 2 4 8 3" xfId="11278" xr:uid="{3B7078FB-3652-4F30-82B1-9EB6DD2B01E1}"/>
    <cellStyle name="Note 2 4 9" xfId="4909" xr:uid="{00000000-0005-0000-0000-000031210000}"/>
    <cellStyle name="Note 2 4 9 2" xfId="13351" xr:uid="{EBEB0611-02AF-4C38-B97D-1179174168DD}"/>
    <cellStyle name="Note 2 5" xfId="552" xr:uid="{00000000-0005-0000-0000-000032210000}"/>
    <cellStyle name="Note 2 5 10" xfId="9134" xr:uid="{9884A575-FB8D-44B9-9059-64D621840540}"/>
    <cellStyle name="Note 2 5 2" xfId="1013" xr:uid="{00000000-0005-0000-0000-000033210000}"/>
    <cellStyle name="Note 2 5 2 2" xfId="3245" xr:uid="{00000000-0005-0000-0000-000034210000}"/>
    <cellStyle name="Note 2 5 2 2 2" xfId="7468" xr:uid="{00000000-0005-0000-0000-000035210000}"/>
    <cellStyle name="Note 2 5 2 2 2 2" xfId="15910" xr:uid="{A7D05220-55AF-4FE7-9157-A81859F1CA7D}"/>
    <cellStyle name="Note 2 5 2 2 3" xfId="11692" xr:uid="{19FC0A66-C9A4-45D5-A0F6-7986F62FB7AC}"/>
    <cellStyle name="Note 2 5 2 3" xfId="5323" xr:uid="{00000000-0005-0000-0000-000036210000}"/>
    <cellStyle name="Note 2 5 2 3 2" xfId="13765" xr:uid="{51F15955-2B0D-4399-BB37-BEE8D2828C19}"/>
    <cellStyle name="Note 2 5 2 4" xfId="9547" xr:uid="{6C57F75F-08E4-40C0-A597-E8102AFB6081}"/>
    <cellStyle name="Note 2 5 3" xfId="1428" xr:uid="{00000000-0005-0000-0000-000037210000}"/>
    <cellStyle name="Note 2 5 3 2" xfId="3658" xr:uid="{00000000-0005-0000-0000-000038210000}"/>
    <cellStyle name="Note 2 5 3 2 2" xfId="7881" xr:uid="{00000000-0005-0000-0000-000039210000}"/>
    <cellStyle name="Note 2 5 3 2 2 2" xfId="16323" xr:uid="{A7F42514-C34A-49D6-8417-C2888CE251F9}"/>
    <cellStyle name="Note 2 5 3 2 3" xfId="12105" xr:uid="{17F96ECD-721D-437B-A58A-2538573B5FD1}"/>
    <cellStyle name="Note 2 5 3 3" xfId="5736" xr:uid="{00000000-0005-0000-0000-00003A210000}"/>
    <cellStyle name="Note 2 5 3 3 2" xfId="14178" xr:uid="{9D6AF290-0DBB-42D6-8BE2-47BA91A90534}"/>
    <cellStyle name="Note 2 5 3 4" xfId="9960" xr:uid="{AD82DBEE-2BF9-4DDA-8FEB-6ED20C54D09F}"/>
    <cellStyle name="Note 2 5 4" xfId="1842" xr:uid="{00000000-0005-0000-0000-00003B210000}"/>
    <cellStyle name="Note 2 5 4 2" xfId="4071" xr:uid="{00000000-0005-0000-0000-00003C210000}"/>
    <cellStyle name="Note 2 5 4 2 2" xfId="8294" xr:uid="{00000000-0005-0000-0000-00003D210000}"/>
    <cellStyle name="Note 2 5 4 2 2 2" xfId="16736" xr:uid="{8F84826E-EE9B-4256-8D81-594D5CA0DFD6}"/>
    <cellStyle name="Note 2 5 4 2 3" xfId="12518" xr:uid="{0FDEA898-20C1-4806-83E4-BCB894439483}"/>
    <cellStyle name="Note 2 5 4 3" xfId="6149" xr:uid="{00000000-0005-0000-0000-00003E210000}"/>
    <cellStyle name="Note 2 5 4 3 2" xfId="14591" xr:uid="{631FFED8-F085-42BE-A4AB-B4B14114BF68}"/>
    <cellStyle name="Note 2 5 4 4" xfId="10373" xr:uid="{08C56EC7-FFFF-4CF2-B739-27C27F8C890B}"/>
    <cellStyle name="Note 2 5 5" xfId="2255" xr:uid="{00000000-0005-0000-0000-00003F210000}"/>
    <cellStyle name="Note 2 5 5 2" xfId="4484" xr:uid="{00000000-0005-0000-0000-000040210000}"/>
    <cellStyle name="Note 2 5 5 2 2" xfId="8707" xr:uid="{00000000-0005-0000-0000-000041210000}"/>
    <cellStyle name="Note 2 5 5 2 2 2" xfId="17149" xr:uid="{CA862105-D688-4B31-BD49-56F1E6F8F827}"/>
    <cellStyle name="Note 2 5 5 2 3" xfId="12931" xr:uid="{40E72E41-9C74-4AF0-920A-D08DEC02043F}"/>
    <cellStyle name="Note 2 5 5 3" xfId="6562" xr:uid="{00000000-0005-0000-0000-000042210000}"/>
    <cellStyle name="Note 2 5 5 3 2" xfId="15004" xr:uid="{6ED61249-9DD8-41DE-AC2D-E55B317B1049}"/>
    <cellStyle name="Note 2 5 5 4" xfId="10786" xr:uid="{CEE5927E-40E6-4057-9405-DE6AD78E9E59}"/>
    <cellStyle name="Note 2 5 6" xfId="2691" xr:uid="{00000000-0005-0000-0000-000043210000}"/>
    <cellStyle name="Note 2 5 6 2" xfId="6975" xr:uid="{00000000-0005-0000-0000-000044210000}"/>
    <cellStyle name="Note 2 5 6 2 2" xfId="15417" xr:uid="{93B8FCAE-5DC9-47DB-BE84-AE05CAA81F23}"/>
    <cellStyle name="Note 2 5 6 3" xfId="11199" xr:uid="{A644C603-846D-45C5-A37C-AC9F4AE922DE}"/>
    <cellStyle name="Note 2 5 7" xfId="2750" xr:uid="{00000000-0005-0000-0000-000045210000}"/>
    <cellStyle name="Note 2 5 8" xfId="2831" xr:uid="{00000000-0005-0000-0000-000046210000}"/>
    <cellStyle name="Note 2 5 8 2" xfId="7055" xr:uid="{00000000-0005-0000-0000-000047210000}"/>
    <cellStyle name="Note 2 5 8 2 2" xfId="15497" xr:uid="{750E2A6F-7658-4000-AB77-6C2F9D84D81D}"/>
    <cellStyle name="Note 2 5 8 3" xfId="11279" xr:uid="{B14384C8-2922-4A23-A5DD-D9730FF0232C}"/>
    <cellStyle name="Note 2 5 9" xfId="4910" xr:uid="{00000000-0005-0000-0000-000048210000}"/>
    <cellStyle name="Note 2 5 9 2" xfId="13352" xr:uid="{6005B0FA-0058-4D2A-ACEC-F83F73BAF37D}"/>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0 2 2" xfId="15498" xr:uid="{A6B5735F-83EB-43B7-9DB7-597D76E9229E}"/>
    <cellStyle name="Note 3 2 10 3" xfId="11280" xr:uid="{8A9FB06F-02F3-4685-B1F4-ED1494C33C07}"/>
    <cellStyle name="Note 3 2 11" xfId="4911" xr:uid="{00000000-0005-0000-0000-00004D210000}"/>
    <cellStyle name="Note 3 2 11 2" xfId="13353" xr:uid="{83835746-86C9-48DE-B873-F86DA412470F}"/>
    <cellStyle name="Note 3 2 12" xfId="9135" xr:uid="{0BB67A5A-4F29-4F70-A848-087F08ABDED8}"/>
    <cellStyle name="Note 3 2 2" xfId="555" xr:uid="{00000000-0005-0000-0000-00004E210000}"/>
    <cellStyle name="Note 3 2 2 10" xfId="4912" xr:uid="{00000000-0005-0000-0000-00004F210000}"/>
    <cellStyle name="Note 3 2 2 10 2" xfId="13354" xr:uid="{BE25992D-36F8-4BF1-931B-75979D66DFD4}"/>
    <cellStyle name="Note 3 2 2 11" xfId="9136" xr:uid="{F8BA35C4-FEDB-434B-A143-CF98F521C102}"/>
    <cellStyle name="Note 3 2 2 2" xfId="556" xr:uid="{00000000-0005-0000-0000-000050210000}"/>
    <cellStyle name="Note 3 2 2 2 10" xfId="9137" xr:uid="{D40D1940-34B2-4668-BCF0-E4266848CB1E}"/>
    <cellStyle name="Note 3 2 2 2 2" xfId="1016" xr:uid="{00000000-0005-0000-0000-000051210000}"/>
    <cellStyle name="Note 3 2 2 2 2 2" xfId="3248" xr:uid="{00000000-0005-0000-0000-000052210000}"/>
    <cellStyle name="Note 3 2 2 2 2 2 2" xfId="7471" xr:uid="{00000000-0005-0000-0000-000053210000}"/>
    <cellStyle name="Note 3 2 2 2 2 2 2 2" xfId="15913" xr:uid="{5A6B5AD6-13F9-4E4E-8E95-2DEE8C1DA158}"/>
    <cellStyle name="Note 3 2 2 2 2 2 3" xfId="11695" xr:uid="{BBDB54E8-5807-48EF-975A-A16E8C23FD75}"/>
    <cellStyle name="Note 3 2 2 2 2 3" xfId="5326" xr:uid="{00000000-0005-0000-0000-000054210000}"/>
    <cellStyle name="Note 3 2 2 2 2 3 2" xfId="13768" xr:uid="{20BE51E3-C28D-4B6E-BC00-93F6A79913A6}"/>
    <cellStyle name="Note 3 2 2 2 2 4" xfId="9550" xr:uid="{2DF4B0B5-B509-4A56-8403-968DEB796DE0}"/>
    <cellStyle name="Note 3 2 2 2 3" xfId="1431" xr:uid="{00000000-0005-0000-0000-000055210000}"/>
    <cellStyle name="Note 3 2 2 2 3 2" xfId="3661" xr:uid="{00000000-0005-0000-0000-000056210000}"/>
    <cellStyle name="Note 3 2 2 2 3 2 2" xfId="7884" xr:uid="{00000000-0005-0000-0000-000057210000}"/>
    <cellStyle name="Note 3 2 2 2 3 2 2 2" xfId="16326" xr:uid="{CA15C2DB-32A3-4477-831D-6ADE0EC17E3A}"/>
    <cellStyle name="Note 3 2 2 2 3 2 3" xfId="12108" xr:uid="{9721D890-7EF0-4CEA-8C26-DBCD0BF228FA}"/>
    <cellStyle name="Note 3 2 2 2 3 3" xfId="5739" xr:uid="{00000000-0005-0000-0000-000058210000}"/>
    <cellStyle name="Note 3 2 2 2 3 3 2" xfId="14181" xr:uid="{1F11499A-B815-48C9-A4CA-583BA37ED599}"/>
    <cellStyle name="Note 3 2 2 2 3 4" xfId="9963" xr:uid="{181CD078-F568-46F1-9405-4D59C1DAF806}"/>
    <cellStyle name="Note 3 2 2 2 4" xfId="1845" xr:uid="{00000000-0005-0000-0000-000059210000}"/>
    <cellStyle name="Note 3 2 2 2 4 2" xfId="4074" xr:uid="{00000000-0005-0000-0000-00005A210000}"/>
    <cellStyle name="Note 3 2 2 2 4 2 2" xfId="8297" xr:uid="{00000000-0005-0000-0000-00005B210000}"/>
    <cellStyle name="Note 3 2 2 2 4 2 2 2" xfId="16739" xr:uid="{0C96036F-1293-4EAF-A187-33230440B264}"/>
    <cellStyle name="Note 3 2 2 2 4 2 3" xfId="12521" xr:uid="{22617C57-354D-43F5-99E2-6F9E744BF28F}"/>
    <cellStyle name="Note 3 2 2 2 4 3" xfId="6152" xr:uid="{00000000-0005-0000-0000-00005C210000}"/>
    <cellStyle name="Note 3 2 2 2 4 3 2" xfId="14594" xr:uid="{4C1127E5-9670-4BEA-81BE-1EC5BBC92B33}"/>
    <cellStyle name="Note 3 2 2 2 4 4" xfId="10376" xr:uid="{7AB09D55-255E-46FD-87A0-2D8C35F8DF91}"/>
    <cellStyle name="Note 3 2 2 2 5" xfId="2258" xr:uid="{00000000-0005-0000-0000-00005D210000}"/>
    <cellStyle name="Note 3 2 2 2 5 2" xfId="4487" xr:uid="{00000000-0005-0000-0000-00005E210000}"/>
    <cellStyle name="Note 3 2 2 2 5 2 2" xfId="8710" xr:uid="{00000000-0005-0000-0000-00005F210000}"/>
    <cellStyle name="Note 3 2 2 2 5 2 2 2" xfId="17152" xr:uid="{A0AF8A9C-1418-48AF-AED2-2F8B94277E44}"/>
    <cellStyle name="Note 3 2 2 2 5 2 3" xfId="12934" xr:uid="{697B909F-A321-4569-862A-B630243812D9}"/>
    <cellStyle name="Note 3 2 2 2 5 3" xfId="6565" xr:uid="{00000000-0005-0000-0000-000060210000}"/>
    <cellStyle name="Note 3 2 2 2 5 3 2" xfId="15007" xr:uid="{702D7608-F040-4582-9306-812D26B08F80}"/>
    <cellStyle name="Note 3 2 2 2 5 4" xfId="10789" xr:uid="{67E86723-A1DC-4DDB-B6CD-6410FCEA8B70}"/>
    <cellStyle name="Note 3 2 2 2 6" xfId="2694" xr:uid="{00000000-0005-0000-0000-000061210000}"/>
    <cellStyle name="Note 3 2 2 2 6 2" xfId="6978" xr:uid="{00000000-0005-0000-0000-000062210000}"/>
    <cellStyle name="Note 3 2 2 2 6 2 2" xfId="15420" xr:uid="{E1A90A60-B0BC-46CD-985A-3A2A331A8494}"/>
    <cellStyle name="Note 3 2 2 2 6 3" xfId="11202" xr:uid="{81696657-7BDA-44D6-B3A3-018583D6C30F}"/>
    <cellStyle name="Note 3 2 2 2 7" xfId="2753" xr:uid="{00000000-0005-0000-0000-000063210000}"/>
    <cellStyle name="Note 3 2 2 2 8" xfId="2834" xr:uid="{00000000-0005-0000-0000-000064210000}"/>
    <cellStyle name="Note 3 2 2 2 8 2" xfId="7058" xr:uid="{00000000-0005-0000-0000-000065210000}"/>
    <cellStyle name="Note 3 2 2 2 8 2 2" xfId="15500" xr:uid="{B1D73294-CC24-4A3F-B097-EB68AA2DE10E}"/>
    <cellStyle name="Note 3 2 2 2 8 3" xfId="11282" xr:uid="{2330A3C8-0061-43D5-8EB7-4AF0280040A4}"/>
    <cellStyle name="Note 3 2 2 2 9" xfId="4913" xr:uid="{00000000-0005-0000-0000-000066210000}"/>
    <cellStyle name="Note 3 2 2 2 9 2" xfId="13355" xr:uid="{26D21045-8C0D-4142-8478-A8825471FB76}"/>
    <cellStyle name="Note 3 2 2 3" xfId="1015" xr:uid="{00000000-0005-0000-0000-000067210000}"/>
    <cellStyle name="Note 3 2 2 3 2" xfId="3247" xr:uid="{00000000-0005-0000-0000-000068210000}"/>
    <cellStyle name="Note 3 2 2 3 2 2" xfId="7470" xr:uid="{00000000-0005-0000-0000-000069210000}"/>
    <cellStyle name="Note 3 2 2 3 2 2 2" xfId="15912" xr:uid="{94A4EF43-F428-42D8-A23E-232A07D9267E}"/>
    <cellStyle name="Note 3 2 2 3 2 3" xfId="11694" xr:uid="{A04FEA78-411A-4D13-824C-DA9EEE3E115C}"/>
    <cellStyle name="Note 3 2 2 3 3" xfId="5325" xr:uid="{00000000-0005-0000-0000-00006A210000}"/>
    <cellStyle name="Note 3 2 2 3 3 2" xfId="13767" xr:uid="{9CDE8F52-AD01-4F03-857F-96AC39A97571}"/>
    <cellStyle name="Note 3 2 2 3 4" xfId="9549" xr:uid="{73BD7EBA-D027-4AB8-9540-AFD4D19290BC}"/>
    <cellStyle name="Note 3 2 2 4" xfId="1430" xr:uid="{00000000-0005-0000-0000-00006B210000}"/>
    <cellStyle name="Note 3 2 2 4 2" xfId="3660" xr:uid="{00000000-0005-0000-0000-00006C210000}"/>
    <cellStyle name="Note 3 2 2 4 2 2" xfId="7883" xr:uid="{00000000-0005-0000-0000-00006D210000}"/>
    <cellStyle name="Note 3 2 2 4 2 2 2" xfId="16325" xr:uid="{A24BC40E-059D-402D-8168-0414B97B840C}"/>
    <cellStyle name="Note 3 2 2 4 2 3" xfId="12107" xr:uid="{6C0A1B2A-417D-44C9-A7AB-08F2F623211D}"/>
    <cellStyle name="Note 3 2 2 4 3" xfId="5738" xr:uid="{00000000-0005-0000-0000-00006E210000}"/>
    <cellStyle name="Note 3 2 2 4 3 2" xfId="14180" xr:uid="{A5B937ED-3A04-435E-BD21-AD1156FDAE21}"/>
    <cellStyle name="Note 3 2 2 4 4" xfId="9962" xr:uid="{61074ADC-44B2-4C9F-B6E7-90E33999AD83}"/>
    <cellStyle name="Note 3 2 2 5" xfId="1844" xr:uid="{00000000-0005-0000-0000-00006F210000}"/>
    <cellStyle name="Note 3 2 2 5 2" xfId="4073" xr:uid="{00000000-0005-0000-0000-000070210000}"/>
    <cellStyle name="Note 3 2 2 5 2 2" xfId="8296" xr:uid="{00000000-0005-0000-0000-000071210000}"/>
    <cellStyle name="Note 3 2 2 5 2 2 2" xfId="16738" xr:uid="{AB5A9041-48FC-4D41-BAD7-92B343432DD2}"/>
    <cellStyle name="Note 3 2 2 5 2 3" xfId="12520" xr:uid="{F72BA6B3-AA23-4CA1-B890-6F98691BF532}"/>
    <cellStyle name="Note 3 2 2 5 3" xfId="6151" xr:uid="{00000000-0005-0000-0000-000072210000}"/>
    <cellStyle name="Note 3 2 2 5 3 2" xfId="14593" xr:uid="{DCEB178D-A392-4934-8511-C4AD268E5C6D}"/>
    <cellStyle name="Note 3 2 2 5 4" xfId="10375" xr:uid="{ED207831-1A3E-4E2F-98EA-F75F75A3BA3A}"/>
    <cellStyle name="Note 3 2 2 6" xfId="2257" xr:uid="{00000000-0005-0000-0000-000073210000}"/>
    <cellStyle name="Note 3 2 2 6 2" xfId="4486" xr:uid="{00000000-0005-0000-0000-000074210000}"/>
    <cellStyle name="Note 3 2 2 6 2 2" xfId="8709" xr:uid="{00000000-0005-0000-0000-000075210000}"/>
    <cellStyle name="Note 3 2 2 6 2 2 2" xfId="17151" xr:uid="{C187D2CA-5334-4766-A924-E053A5A60AEC}"/>
    <cellStyle name="Note 3 2 2 6 2 3" xfId="12933" xr:uid="{E783C8BC-1D77-48C5-8FDD-C7E1686109B3}"/>
    <cellStyle name="Note 3 2 2 6 3" xfId="6564" xr:uid="{00000000-0005-0000-0000-000076210000}"/>
    <cellStyle name="Note 3 2 2 6 3 2" xfId="15006" xr:uid="{D053644E-1456-48B7-926E-EF1C532C5B06}"/>
    <cellStyle name="Note 3 2 2 6 4" xfId="10788" xr:uid="{6B755DCD-104A-49D1-84A4-F380E5989B32}"/>
    <cellStyle name="Note 3 2 2 7" xfId="2693" xr:uid="{00000000-0005-0000-0000-000077210000}"/>
    <cellStyle name="Note 3 2 2 7 2" xfId="6977" xr:uid="{00000000-0005-0000-0000-000078210000}"/>
    <cellStyle name="Note 3 2 2 7 2 2" xfId="15419" xr:uid="{072E1521-C251-4256-98CA-C1B1D9A45065}"/>
    <cellStyle name="Note 3 2 2 7 3" xfId="11201" xr:uid="{80A3E8D2-F45C-4C9A-8EB0-85CC0D51489C}"/>
    <cellStyle name="Note 3 2 2 8" xfId="2752" xr:uid="{00000000-0005-0000-0000-000079210000}"/>
    <cellStyle name="Note 3 2 2 9" xfId="2833" xr:uid="{00000000-0005-0000-0000-00007A210000}"/>
    <cellStyle name="Note 3 2 2 9 2" xfId="7057" xr:uid="{00000000-0005-0000-0000-00007B210000}"/>
    <cellStyle name="Note 3 2 2 9 2 2" xfId="15499" xr:uid="{24EC329B-4FBC-4409-B1E4-43C60280B06D}"/>
    <cellStyle name="Note 3 2 2 9 3" xfId="11281" xr:uid="{6F0F0CCC-46A6-409B-93C7-B2C26F4E41C4}"/>
    <cellStyle name="Note 3 2 3" xfId="557" xr:uid="{00000000-0005-0000-0000-00007C210000}"/>
    <cellStyle name="Note 3 2 3 10" xfId="9138" xr:uid="{30867B8D-1741-41BC-A824-6AD7D0C99D8A}"/>
    <cellStyle name="Note 3 2 3 2" xfId="1017" xr:uid="{00000000-0005-0000-0000-00007D210000}"/>
    <cellStyle name="Note 3 2 3 2 2" xfId="3249" xr:uid="{00000000-0005-0000-0000-00007E210000}"/>
    <cellStyle name="Note 3 2 3 2 2 2" xfId="7472" xr:uid="{00000000-0005-0000-0000-00007F210000}"/>
    <cellStyle name="Note 3 2 3 2 2 2 2" xfId="15914" xr:uid="{11B2686F-2EF9-43F6-9EA8-41021C875C48}"/>
    <cellStyle name="Note 3 2 3 2 2 3" xfId="11696" xr:uid="{B3E04ED4-7A0D-4A4C-8F22-475D6CCA4B68}"/>
    <cellStyle name="Note 3 2 3 2 3" xfId="5327" xr:uid="{00000000-0005-0000-0000-000080210000}"/>
    <cellStyle name="Note 3 2 3 2 3 2" xfId="13769" xr:uid="{B0A85B9C-2BF0-46B1-8B26-4178ADA062B8}"/>
    <cellStyle name="Note 3 2 3 2 4" xfId="9551" xr:uid="{75D626F4-A223-428D-95DF-6108AE45DCDD}"/>
    <cellStyle name="Note 3 2 3 3" xfId="1432" xr:uid="{00000000-0005-0000-0000-000081210000}"/>
    <cellStyle name="Note 3 2 3 3 2" xfId="3662" xr:uid="{00000000-0005-0000-0000-000082210000}"/>
    <cellStyle name="Note 3 2 3 3 2 2" xfId="7885" xr:uid="{00000000-0005-0000-0000-000083210000}"/>
    <cellStyle name="Note 3 2 3 3 2 2 2" xfId="16327" xr:uid="{EFB632DA-EDAF-45A7-944D-4EE277AF79D6}"/>
    <cellStyle name="Note 3 2 3 3 2 3" xfId="12109" xr:uid="{95318427-02FC-479A-AD05-408B80123AF7}"/>
    <cellStyle name="Note 3 2 3 3 3" xfId="5740" xr:uid="{00000000-0005-0000-0000-000084210000}"/>
    <cellStyle name="Note 3 2 3 3 3 2" xfId="14182" xr:uid="{C580D716-9289-48C2-BB22-FD6A6812DCC9}"/>
    <cellStyle name="Note 3 2 3 3 4" xfId="9964" xr:uid="{6B98DA34-83A8-4E33-87D0-3D744E0448A3}"/>
    <cellStyle name="Note 3 2 3 4" xfId="1846" xr:uid="{00000000-0005-0000-0000-000085210000}"/>
    <cellStyle name="Note 3 2 3 4 2" xfId="4075" xr:uid="{00000000-0005-0000-0000-000086210000}"/>
    <cellStyle name="Note 3 2 3 4 2 2" xfId="8298" xr:uid="{00000000-0005-0000-0000-000087210000}"/>
    <cellStyle name="Note 3 2 3 4 2 2 2" xfId="16740" xr:uid="{A4546980-4809-4FAC-9AB6-9AA8F31A0C06}"/>
    <cellStyle name="Note 3 2 3 4 2 3" xfId="12522" xr:uid="{2D782BDF-50A5-46D9-BBC4-7036C0CA9A8E}"/>
    <cellStyle name="Note 3 2 3 4 3" xfId="6153" xr:uid="{00000000-0005-0000-0000-000088210000}"/>
    <cellStyle name="Note 3 2 3 4 3 2" xfId="14595" xr:uid="{1F0CBCD0-0D99-468F-A858-9A3B5293FA8E}"/>
    <cellStyle name="Note 3 2 3 4 4" xfId="10377" xr:uid="{7760C609-4B9E-42B5-B558-BF8A77CE2474}"/>
    <cellStyle name="Note 3 2 3 5" xfId="2259" xr:uid="{00000000-0005-0000-0000-000089210000}"/>
    <cellStyle name="Note 3 2 3 5 2" xfId="4488" xr:uid="{00000000-0005-0000-0000-00008A210000}"/>
    <cellStyle name="Note 3 2 3 5 2 2" xfId="8711" xr:uid="{00000000-0005-0000-0000-00008B210000}"/>
    <cellStyle name="Note 3 2 3 5 2 2 2" xfId="17153" xr:uid="{8EEC522F-895C-4D8F-BB1C-3A11BB80D6B9}"/>
    <cellStyle name="Note 3 2 3 5 2 3" xfId="12935" xr:uid="{D1898721-3BE0-4F4D-B384-D7668E71B2F5}"/>
    <cellStyle name="Note 3 2 3 5 3" xfId="6566" xr:uid="{00000000-0005-0000-0000-00008C210000}"/>
    <cellStyle name="Note 3 2 3 5 3 2" xfId="15008" xr:uid="{26747842-F9AD-4B37-8462-232F40361311}"/>
    <cellStyle name="Note 3 2 3 5 4" xfId="10790" xr:uid="{64858985-B785-4CA8-8238-854E40B6F721}"/>
    <cellStyle name="Note 3 2 3 6" xfId="2695" xr:uid="{00000000-0005-0000-0000-00008D210000}"/>
    <cellStyle name="Note 3 2 3 6 2" xfId="6979" xr:uid="{00000000-0005-0000-0000-00008E210000}"/>
    <cellStyle name="Note 3 2 3 6 2 2" xfId="15421" xr:uid="{F4FE649F-247C-4C66-A529-F3851025919A}"/>
    <cellStyle name="Note 3 2 3 6 3" xfId="11203" xr:uid="{0BD1BA80-E31C-4CB5-9FC1-A5CCB4BEC572}"/>
    <cellStyle name="Note 3 2 3 7" xfId="2754" xr:uid="{00000000-0005-0000-0000-00008F210000}"/>
    <cellStyle name="Note 3 2 3 8" xfId="2835" xr:uid="{00000000-0005-0000-0000-000090210000}"/>
    <cellStyle name="Note 3 2 3 8 2" xfId="7059" xr:uid="{00000000-0005-0000-0000-000091210000}"/>
    <cellStyle name="Note 3 2 3 8 2 2" xfId="15501" xr:uid="{F54405A9-5E2F-42EB-BEF9-082684FD2633}"/>
    <cellStyle name="Note 3 2 3 8 3" xfId="11283" xr:uid="{042A1F8C-C24E-4FC1-95AE-CC17560B8C1F}"/>
    <cellStyle name="Note 3 2 3 9" xfId="4914" xr:uid="{00000000-0005-0000-0000-000092210000}"/>
    <cellStyle name="Note 3 2 3 9 2" xfId="13356" xr:uid="{63E4CE27-0CEB-461D-BB4E-05D3400AC008}"/>
    <cellStyle name="Note 3 2 4" xfId="1014" xr:uid="{00000000-0005-0000-0000-000093210000}"/>
    <cellStyle name="Note 3 2 4 2" xfId="3246" xr:uid="{00000000-0005-0000-0000-000094210000}"/>
    <cellStyle name="Note 3 2 4 2 2" xfId="7469" xr:uid="{00000000-0005-0000-0000-000095210000}"/>
    <cellStyle name="Note 3 2 4 2 2 2" xfId="15911" xr:uid="{C23A9DB9-5A4F-4AB6-9C70-4DFF2A4BFACD}"/>
    <cellStyle name="Note 3 2 4 2 3" xfId="11693" xr:uid="{2A4FD070-750C-44A1-AFDE-D968444B64C4}"/>
    <cellStyle name="Note 3 2 4 3" xfId="5324" xr:uid="{00000000-0005-0000-0000-000096210000}"/>
    <cellStyle name="Note 3 2 4 3 2" xfId="13766" xr:uid="{6A5506B8-FA40-44FA-9865-57074A278C2A}"/>
    <cellStyle name="Note 3 2 4 4" xfId="9548" xr:uid="{1DC271EB-3C4F-48B2-A6DB-0A97FC156C0F}"/>
    <cellStyle name="Note 3 2 5" xfId="1429" xr:uid="{00000000-0005-0000-0000-000097210000}"/>
    <cellStyle name="Note 3 2 5 2" xfId="3659" xr:uid="{00000000-0005-0000-0000-000098210000}"/>
    <cellStyle name="Note 3 2 5 2 2" xfId="7882" xr:uid="{00000000-0005-0000-0000-000099210000}"/>
    <cellStyle name="Note 3 2 5 2 2 2" xfId="16324" xr:uid="{5E327B8A-AE7F-42C4-AE90-3778AF4443D8}"/>
    <cellStyle name="Note 3 2 5 2 3" xfId="12106" xr:uid="{4EFFB498-1672-4D08-B082-AD54D01EAD23}"/>
    <cellStyle name="Note 3 2 5 3" xfId="5737" xr:uid="{00000000-0005-0000-0000-00009A210000}"/>
    <cellStyle name="Note 3 2 5 3 2" xfId="14179" xr:uid="{1EDFEFAC-258B-45B3-A780-A86D6361B385}"/>
    <cellStyle name="Note 3 2 5 4" xfId="9961" xr:uid="{1724EF6B-7CE4-417B-85E7-7E7CFF157278}"/>
    <cellStyle name="Note 3 2 6" xfId="1843" xr:uid="{00000000-0005-0000-0000-00009B210000}"/>
    <cellStyle name="Note 3 2 6 2" xfId="4072" xr:uid="{00000000-0005-0000-0000-00009C210000}"/>
    <cellStyle name="Note 3 2 6 2 2" xfId="8295" xr:uid="{00000000-0005-0000-0000-00009D210000}"/>
    <cellStyle name="Note 3 2 6 2 2 2" xfId="16737" xr:uid="{1E9CAAA4-1225-4439-83E9-824A50F5FD48}"/>
    <cellStyle name="Note 3 2 6 2 3" xfId="12519" xr:uid="{B47783A6-1616-43B3-AF1E-9AE774D04416}"/>
    <cellStyle name="Note 3 2 6 3" xfId="6150" xr:uid="{00000000-0005-0000-0000-00009E210000}"/>
    <cellStyle name="Note 3 2 6 3 2" xfId="14592" xr:uid="{D06D98A3-B692-4615-B390-DD725FF0C63C}"/>
    <cellStyle name="Note 3 2 6 4" xfId="10374" xr:uid="{FDB82368-B02F-485A-9083-F60EE08DC50B}"/>
    <cellStyle name="Note 3 2 7" xfId="2256" xr:uid="{00000000-0005-0000-0000-00009F210000}"/>
    <cellStyle name="Note 3 2 7 2" xfId="4485" xr:uid="{00000000-0005-0000-0000-0000A0210000}"/>
    <cellStyle name="Note 3 2 7 2 2" xfId="8708" xr:uid="{00000000-0005-0000-0000-0000A1210000}"/>
    <cellStyle name="Note 3 2 7 2 2 2" xfId="17150" xr:uid="{A41816F8-D550-4ABA-81B3-B486A1D464BC}"/>
    <cellStyle name="Note 3 2 7 2 3" xfId="12932" xr:uid="{1203172F-1658-43F0-A02A-38BC8A775CCC}"/>
    <cellStyle name="Note 3 2 7 3" xfId="6563" xr:uid="{00000000-0005-0000-0000-0000A2210000}"/>
    <cellStyle name="Note 3 2 7 3 2" xfId="15005" xr:uid="{916BB3AD-ED42-4E6A-8A09-872F388D8FA8}"/>
    <cellStyle name="Note 3 2 7 4" xfId="10787" xr:uid="{FFBC2534-DC72-47F2-A076-0DE23B45F8B4}"/>
    <cellStyle name="Note 3 2 8" xfId="2692" xr:uid="{00000000-0005-0000-0000-0000A3210000}"/>
    <cellStyle name="Note 3 2 8 2" xfId="6976" xr:uid="{00000000-0005-0000-0000-0000A4210000}"/>
    <cellStyle name="Note 3 2 8 2 2" xfId="15418" xr:uid="{E7C68AAE-D082-4563-ACF1-44EF77CF31DA}"/>
    <cellStyle name="Note 3 2 8 3" xfId="11200" xr:uid="{70CF06FF-EC1E-49CB-94AF-BB0047EC6C46}"/>
    <cellStyle name="Note 3 2 9" xfId="2751" xr:uid="{00000000-0005-0000-0000-0000A5210000}"/>
    <cellStyle name="Note 3 3" xfId="558" xr:uid="{00000000-0005-0000-0000-0000A6210000}"/>
    <cellStyle name="Note 3 3 10" xfId="4915" xr:uid="{00000000-0005-0000-0000-0000A7210000}"/>
    <cellStyle name="Note 3 3 10 2" xfId="13357" xr:uid="{7301601D-776C-43E8-B1F1-F9A2C99D1032}"/>
    <cellStyle name="Note 3 3 11" xfId="9139" xr:uid="{FC0CBC63-85B8-4A45-ACFA-3DFAEE8FAF79}"/>
    <cellStyle name="Note 3 3 2" xfId="559" xr:uid="{00000000-0005-0000-0000-0000A8210000}"/>
    <cellStyle name="Note 3 3 2 10" xfId="9140" xr:uid="{85045D10-6C17-4B17-9100-58643E2F7115}"/>
    <cellStyle name="Note 3 3 2 2" xfId="1019" xr:uid="{00000000-0005-0000-0000-0000A9210000}"/>
    <cellStyle name="Note 3 3 2 2 2" xfId="3251" xr:uid="{00000000-0005-0000-0000-0000AA210000}"/>
    <cellStyle name="Note 3 3 2 2 2 2" xfId="7474" xr:uid="{00000000-0005-0000-0000-0000AB210000}"/>
    <cellStyle name="Note 3 3 2 2 2 2 2" xfId="15916" xr:uid="{874AF7A8-EDDD-4E51-9A6D-79E9788818B5}"/>
    <cellStyle name="Note 3 3 2 2 2 3" xfId="11698" xr:uid="{398FD5B7-1B31-4818-A413-900C73E115BD}"/>
    <cellStyle name="Note 3 3 2 2 3" xfId="5329" xr:uid="{00000000-0005-0000-0000-0000AC210000}"/>
    <cellStyle name="Note 3 3 2 2 3 2" xfId="13771" xr:uid="{968FC59A-2F9D-4DA8-9BC6-9FF203A12B19}"/>
    <cellStyle name="Note 3 3 2 2 4" xfId="9553" xr:uid="{838C7360-FB2F-464F-9929-04728D53DCCA}"/>
    <cellStyle name="Note 3 3 2 3" xfId="1434" xr:uid="{00000000-0005-0000-0000-0000AD210000}"/>
    <cellStyle name="Note 3 3 2 3 2" xfId="3664" xr:uid="{00000000-0005-0000-0000-0000AE210000}"/>
    <cellStyle name="Note 3 3 2 3 2 2" xfId="7887" xr:uid="{00000000-0005-0000-0000-0000AF210000}"/>
    <cellStyle name="Note 3 3 2 3 2 2 2" xfId="16329" xr:uid="{E3781C0E-60D8-463B-84AF-51AD6086C75D}"/>
    <cellStyle name="Note 3 3 2 3 2 3" xfId="12111" xr:uid="{DA8DE3D2-F1F7-4518-8BC4-283B9B7DFF1C}"/>
    <cellStyle name="Note 3 3 2 3 3" xfId="5742" xr:uid="{00000000-0005-0000-0000-0000B0210000}"/>
    <cellStyle name="Note 3 3 2 3 3 2" xfId="14184" xr:uid="{C115E84A-6D1F-4A62-9F4B-94B7B91FCDC6}"/>
    <cellStyle name="Note 3 3 2 3 4" xfId="9966" xr:uid="{938E9D35-B047-40B6-80D0-25766E655AC9}"/>
    <cellStyle name="Note 3 3 2 4" xfId="1848" xr:uid="{00000000-0005-0000-0000-0000B1210000}"/>
    <cellStyle name="Note 3 3 2 4 2" xfId="4077" xr:uid="{00000000-0005-0000-0000-0000B2210000}"/>
    <cellStyle name="Note 3 3 2 4 2 2" xfId="8300" xr:uid="{00000000-0005-0000-0000-0000B3210000}"/>
    <cellStyle name="Note 3 3 2 4 2 2 2" xfId="16742" xr:uid="{A04741EF-6729-4C33-89A5-F53AFB5C9563}"/>
    <cellStyle name="Note 3 3 2 4 2 3" xfId="12524" xr:uid="{B1E6D3B4-B797-4B2C-92D2-09960ADB5218}"/>
    <cellStyle name="Note 3 3 2 4 3" xfId="6155" xr:uid="{00000000-0005-0000-0000-0000B4210000}"/>
    <cellStyle name="Note 3 3 2 4 3 2" xfId="14597" xr:uid="{FBFAC22C-3296-49F2-8175-7B5469AC95A6}"/>
    <cellStyle name="Note 3 3 2 4 4" xfId="10379" xr:uid="{69A8BA41-16CD-478E-821D-E209610AEF12}"/>
    <cellStyle name="Note 3 3 2 5" xfId="2261" xr:uid="{00000000-0005-0000-0000-0000B5210000}"/>
    <cellStyle name="Note 3 3 2 5 2" xfId="4490" xr:uid="{00000000-0005-0000-0000-0000B6210000}"/>
    <cellStyle name="Note 3 3 2 5 2 2" xfId="8713" xr:uid="{00000000-0005-0000-0000-0000B7210000}"/>
    <cellStyle name="Note 3 3 2 5 2 2 2" xfId="17155" xr:uid="{231B4163-E14E-4F55-B193-8DB103F88068}"/>
    <cellStyle name="Note 3 3 2 5 2 3" xfId="12937" xr:uid="{92779B63-6966-4685-B83F-B1C1925FCD95}"/>
    <cellStyle name="Note 3 3 2 5 3" xfId="6568" xr:uid="{00000000-0005-0000-0000-0000B8210000}"/>
    <cellStyle name="Note 3 3 2 5 3 2" xfId="15010" xr:uid="{E91F55E4-11D8-4075-AC2F-541AAF6C105A}"/>
    <cellStyle name="Note 3 3 2 5 4" xfId="10792" xr:uid="{7F0BED79-D34E-4E25-8E4E-90A150684ECD}"/>
    <cellStyle name="Note 3 3 2 6" xfId="2697" xr:uid="{00000000-0005-0000-0000-0000B9210000}"/>
    <cellStyle name="Note 3 3 2 6 2" xfId="6981" xr:uid="{00000000-0005-0000-0000-0000BA210000}"/>
    <cellStyle name="Note 3 3 2 6 2 2" xfId="15423" xr:uid="{93D08696-51F0-4D40-96F5-FD4B6DF72239}"/>
    <cellStyle name="Note 3 3 2 6 3" xfId="11205" xr:uid="{1804DC24-EA08-44EE-B5D0-26EB3037E46B}"/>
    <cellStyle name="Note 3 3 2 7" xfId="2756" xr:uid="{00000000-0005-0000-0000-0000BB210000}"/>
    <cellStyle name="Note 3 3 2 8" xfId="2837" xr:uid="{00000000-0005-0000-0000-0000BC210000}"/>
    <cellStyle name="Note 3 3 2 8 2" xfId="7061" xr:uid="{00000000-0005-0000-0000-0000BD210000}"/>
    <cellStyle name="Note 3 3 2 8 2 2" xfId="15503" xr:uid="{D856DC62-4F55-4D77-A683-955CBC422FF4}"/>
    <cellStyle name="Note 3 3 2 8 3" xfId="11285" xr:uid="{16AB3C09-E1B2-4A83-A0C1-2C21C2086D45}"/>
    <cellStyle name="Note 3 3 2 9" xfId="4916" xr:uid="{00000000-0005-0000-0000-0000BE210000}"/>
    <cellStyle name="Note 3 3 2 9 2" xfId="13358" xr:uid="{BF36B0AB-1592-4391-8B41-1766950CD345}"/>
    <cellStyle name="Note 3 3 3" xfId="1018" xr:uid="{00000000-0005-0000-0000-0000BF210000}"/>
    <cellStyle name="Note 3 3 3 2" xfId="3250" xr:uid="{00000000-0005-0000-0000-0000C0210000}"/>
    <cellStyle name="Note 3 3 3 2 2" xfId="7473" xr:uid="{00000000-0005-0000-0000-0000C1210000}"/>
    <cellStyle name="Note 3 3 3 2 2 2" xfId="15915" xr:uid="{4567510E-1193-4806-8EC8-AE0D0E962C3E}"/>
    <cellStyle name="Note 3 3 3 2 3" xfId="11697" xr:uid="{3150463E-D489-4C71-8273-5F70EAB4FC02}"/>
    <cellStyle name="Note 3 3 3 3" xfId="5328" xr:uid="{00000000-0005-0000-0000-0000C2210000}"/>
    <cellStyle name="Note 3 3 3 3 2" xfId="13770" xr:uid="{F515A6C1-33C1-4B57-BB24-C94D56D4F944}"/>
    <cellStyle name="Note 3 3 3 4" xfId="9552" xr:uid="{A45C1EB0-475B-494F-9A72-72B2127ABDE5}"/>
    <cellStyle name="Note 3 3 4" xfId="1433" xr:uid="{00000000-0005-0000-0000-0000C3210000}"/>
    <cellStyle name="Note 3 3 4 2" xfId="3663" xr:uid="{00000000-0005-0000-0000-0000C4210000}"/>
    <cellStyle name="Note 3 3 4 2 2" xfId="7886" xr:uid="{00000000-0005-0000-0000-0000C5210000}"/>
    <cellStyle name="Note 3 3 4 2 2 2" xfId="16328" xr:uid="{9CF05D71-C6F8-42AC-B08E-2BBD2257EC67}"/>
    <cellStyle name="Note 3 3 4 2 3" xfId="12110" xr:uid="{BE02FD56-E2AE-4B56-9C59-55434A65FE33}"/>
    <cellStyle name="Note 3 3 4 3" xfId="5741" xr:uid="{00000000-0005-0000-0000-0000C6210000}"/>
    <cellStyle name="Note 3 3 4 3 2" xfId="14183" xr:uid="{EA13BCF1-8A03-4382-95DF-9219105CA31B}"/>
    <cellStyle name="Note 3 3 4 4" xfId="9965" xr:uid="{B491B0A3-0823-4644-8F52-D0F414EC4BA2}"/>
    <cellStyle name="Note 3 3 5" xfId="1847" xr:uid="{00000000-0005-0000-0000-0000C7210000}"/>
    <cellStyle name="Note 3 3 5 2" xfId="4076" xr:uid="{00000000-0005-0000-0000-0000C8210000}"/>
    <cellStyle name="Note 3 3 5 2 2" xfId="8299" xr:uid="{00000000-0005-0000-0000-0000C9210000}"/>
    <cellStyle name="Note 3 3 5 2 2 2" xfId="16741" xr:uid="{C6E4CCF6-2747-4E17-AE3A-B21B09103BDE}"/>
    <cellStyle name="Note 3 3 5 2 3" xfId="12523" xr:uid="{AAF2282E-5B2F-4487-9DEF-6922369322A5}"/>
    <cellStyle name="Note 3 3 5 3" xfId="6154" xr:uid="{00000000-0005-0000-0000-0000CA210000}"/>
    <cellStyle name="Note 3 3 5 3 2" xfId="14596" xr:uid="{0EA886BF-93FF-4C3C-8D5B-7CD210CC657F}"/>
    <cellStyle name="Note 3 3 5 4" xfId="10378" xr:uid="{24D87496-B330-42E3-932E-99CD9FDAA66D}"/>
    <cellStyle name="Note 3 3 6" xfId="2260" xr:uid="{00000000-0005-0000-0000-0000CB210000}"/>
    <cellStyle name="Note 3 3 6 2" xfId="4489" xr:uid="{00000000-0005-0000-0000-0000CC210000}"/>
    <cellStyle name="Note 3 3 6 2 2" xfId="8712" xr:uid="{00000000-0005-0000-0000-0000CD210000}"/>
    <cellStyle name="Note 3 3 6 2 2 2" xfId="17154" xr:uid="{B9EC849C-6C27-4FEC-B589-EA22A0F0EA78}"/>
    <cellStyle name="Note 3 3 6 2 3" xfId="12936" xr:uid="{49F92FEA-4730-4087-8972-61296ADA0BA0}"/>
    <cellStyle name="Note 3 3 6 3" xfId="6567" xr:uid="{00000000-0005-0000-0000-0000CE210000}"/>
    <cellStyle name="Note 3 3 6 3 2" xfId="15009" xr:uid="{77124967-B67F-4465-A3D2-18755E1BB825}"/>
    <cellStyle name="Note 3 3 6 4" xfId="10791" xr:uid="{8EC3958D-19DD-41E5-8E3E-D0DB2FB8684E}"/>
    <cellStyle name="Note 3 3 7" xfId="2696" xr:uid="{00000000-0005-0000-0000-0000CF210000}"/>
    <cellStyle name="Note 3 3 7 2" xfId="6980" xr:uid="{00000000-0005-0000-0000-0000D0210000}"/>
    <cellStyle name="Note 3 3 7 2 2" xfId="15422" xr:uid="{895601F0-CBDB-428D-9FAE-854463EF1C16}"/>
    <cellStyle name="Note 3 3 7 3" xfId="11204" xr:uid="{5A0C8396-ADF1-48B9-865B-47C5ED5C4A95}"/>
    <cellStyle name="Note 3 3 8" xfId="2755" xr:uid="{00000000-0005-0000-0000-0000D1210000}"/>
    <cellStyle name="Note 3 3 9" xfId="2836" xr:uid="{00000000-0005-0000-0000-0000D2210000}"/>
    <cellStyle name="Note 3 3 9 2" xfId="7060" xr:uid="{00000000-0005-0000-0000-0000D3210000}"/>
    <cellStyle name="Note 3 3 9 2 2" xfId="15502" xr:uid="{B730D9CD-0B4B-431F-8D4B-006AC58BD2B8}"/>
    <cellStyle name="Note 3 3 9 3" xfId="11284" xr:uid="{610507C7-1024-47B1-B86E-3691A1EE3218}"/>
    <cellStyle name="Note 3 4" xfId="560" xr:uid="{00000000-0005-0000-0000-0000D4210000}"/>
    <cellStyle name="Note 3 4 10" xfId="9141" xr:uid="{9EDDBD49-7EC7-42CC-A30C-7452BC1D4845}"/>
    <cellStyle name="Note 3 4 2" xfId="1020" xr:uid="{00000000-0005-0000-0000-0000D5210000}"/>
    <cellStyle name="Note 3 4 2 2" xfId="3252" xr:uid="{00000000-0005-0000-0000-0000D6210000}"/>
    <cellStyle name="Note 3 4 2 2 2" xfId="7475" xr:uid="{00000000-0005-0000-0000-0000D7210000}"/>
    <cellStyle name="Note 3 4 2 2 2 2" xfId="15917" xr:uid="{3CC61BEE-5B2E-44D8-807B-A153BAC3F093}"/>
    <cellStyle name="Note 3 4 2 2 3" xfId="11699" xr:uid="{4A848813-488B-459A-973E-89CCA4C6917C}"/>
    <cellStyle name="Note 3 4 2 3" xfId="5330" xr:uid="{00000000-0005-0000-0000-0000D8210000}"/>
    <cellStyle name="Note 3 4 2 3 2" xfId="13772" xr:uid="{D27721A4-5182-4CC1-ABBF-E0E1D61C06D6}"/>
    <cellStyle name="Note 3 4 2 4" xfId="9554" xr:uid="{ED0153F8-2885-460E-9D15-861B8B15AC9C}"/>
    <cellStyle name="Note 3 4 3" xfId="1435" xr:uid="{00000000-0005-0000-0000-0000D9210000}"/>
    <cellStyle name="Note 3 4 3 2" xfId="3665" xr:uid="{00000000-0005-0000-0000-0000DA210000}"/>
    <cellStyle name="Note 3 4 3 2 2" xfId="7888" xr:uid="{00000000-0005-0000-0000-0000DB210000}"/>
    <cellStyle name="Note 3 4 3 2 2 2" xfId="16330" xr:uid="{9AE119AB-E61C-4ABE-805A-1FB94E77BBFD}"/>
    <cellStyle name="Note 3 4 3 2 3" xfId="12112" xr:uid="{124363FC-3037-4C71-8BA4-F971A06FE545}"/>
    <cellStyle name="Note 3 4 3 3" xfId="5743" xr:uid="{00000000-0005-0000-0000-0000DC210000}"/>
    <cellStyle name="Note 3 4 3 3 2" xfId="14185" xr:uid="{2E97630D-2D17-4957-8225-0BCED7C07EA6}"/>
    <cellStyle name="Note 3 4 3 4" xfId="9967" xr:uid="{6030DAE1-35B5-4FF6-82BE-D24B8649C9E8}"/>
    <cellStyle name="Note 3 4 4" xfId="1849" xr:uid="{00000000-0005-0000-0000-0000DD210000}"/>
    <cellStyle name="Note 3 4 4 2" xfId="4078" xr:uid="{00000000-0005-0000-0000-0000DE210000}"/>
    <cellStyle name="Note 3 4 4 2 2" xfId="8301" xr:uid="{00000000-0005-0000-0000-0000DF210000}"/>
    <cellStyle name="Note 3 4 4 2 2 2" xfId="16743" xr:uid="{519DB078-1BA6-44D1-87C2-47548374BC09}"/>
    <cellStyle name="Note 3 4 4 2 3" xfId="12525" xr:uid="{43063C63-7AC7-44AA-877F-2B171DC6868B}"/>
    <cellStyle name="Note 3 4 4 3" xfId="6156" xr:uid="{00000000-0005-0000-0000-0000E0210000}"/>
    <cellStyle name="Note 3 4 4 3 2" xfId="14598" xr:uid="{5EF0271E-0108-4064-B516-A5ED34DB3EC3}"/>
    <cellStyle name="Note 3 4 4 4" xfId="10380" xr:uid="{41773904-3BFD-4A91-A2B4-98EFA9CD6047}"/>
    <cellStyle name="Note 3 4 5" xfId="2262" xr:uid="{00000000-0005-0000-0000-0000E1210000}"/>
    <cellStyle name="Note 3 4 5 2" xfId="4491" xr:uid="{00000000-0005-0000-0000-0000E2210000}"/>
    <cellStyle name="Note 3 4 5 2 2" xfId="8714" xr:uid="{00000000-0005-0000-0000-0000E3210000}"/>
    <cellStyle name="Note 3 4 5 2 2 2" xfId="17156" xr:uid="{EBBB8BE5-BA18-4F2D-BFB3-E7493A6CDA33}"/>
    <cellStyle name="Note 3 4 5 2 3" xfId="12938" xr:uid="{F55227D7-61F3-46BA-B33C-2F29D7338883}"/>
    <cellStyle name="Note 3 4 5 3" xfId="6569" xr:uid="{00000000-0005-0000-0000-0000E4210000}"/>
    <cellStyle name="Note 3 4 5 3 2" xfId="15011" xr:uid="{EECA07BB-1751-42EE-901D-F1384240FF1D}"/>
    <cellStyle name="Note 3 4 5 4" xfId="10793" xr:uid="{1A36777D-D2F9-4DA5-BDC2-5F174BF046CD}"/>
    <cellStyle name="Note 3 4 6" xfId="2698" xr:uid="{00000000-0005-0000-0000-0000E5210000}"/>
    <cellStyle name="Note 3 4 6 2" xfId="6982" xr:uid="{00000000-0005-0000-0000-0000E6210000}"/>
    <cellStyle name="Note 3 4 6 2 2" xfId="15424" xr:uid="{3FC24355-1B7F-4AC6-9F85-95CE17F13168}"/>
    <cellStyle name="Note 3 4 6 3" xfId="11206" xr:uid="{8ACDA423-A429-49F8-8392-5221B10F1196}"/>
    <cellStyle name="Note 3 4 7" xfId="2757" xr:uid="{00000000-0005-0000-0000-0000E7210000}"/>
    <cellStyle name="Note 3 4 8" xfId="2838" xr:uid="{00000000-0005-0000-0000-0000E8210000}"/>
    <cellStyle name="Note 3 4 8 2" xfId="7062" xr:uid="{00000000-0005-0000-0000-0000E9210000}"/>
    <cellStyle name="Note 3 4 8 2 2" xfId="15504" xr:uid="{98FCB146-578F-414E-ADC7-7117F43AB1C7}"/>
    <cellStyle name="Note 3 4 8 3" xfId="11286" xr:uid="{84022956-A042-430C-B577-557BA8829AB6}"/>
    <cellStyle name="Note 3 4 9" xfId="4917" xr:uid="{00000000-0005-0000-0000-0000EA210000}"/>
    <cellStyle name="Note 3 4 9 2" xfId="13359" xr:uid="{C2EB109F-1B00-49BD-A9B5-DEA4A70C0118}"/>
    <cellStyle name="Note 3 5" xfId="561" xr:uid="{00000000-0005-0000-0000-0000EB210000}"/>
    <cellStyle name="Note 3 5 10" xfId="9142" xr:uid="{DC513154-7BEF-4FF2-92A7-D572BA2E8241}"/>
    <cellStyle name="Note 3 5 2" xfId="1021" xr:uid="{00000000-0005-0000-0000-0000EC210000}"/>
    <cellStyle name="Note 3 5 2 2" xfId="3253" xr:uid="{00000000-0005-0000-0000-0000ED210000}"/>
    <cellStyle name="Note 3 5 2 2 2" xfId="7476" xr:uid="{00000000-0005-0000-0000-0000EE210000}"/>
    <cellStyle name="Note 3 5 2 2 2 2" xfId="15918" xr:uid="{96724087-F04F-4E14-9FA2-2510B8E9D211}"/>
    <cellStyle name="Note 3 5 2 2 3" xfId="11700" xr:uid="{1E68EDE4-B2C1-4870-8DDC-A57F60D25C86}"/>
    <cellStyle name="Note 3 5 2 3" xfId="5331" xr:uid="{00000000-0005-0000-0000-0000EF210000}"/>
    <cellStyle name="Note 3 5 2 3 2" xfId="13773" xr:uid="{BBE47D8A-FB24-4E35-BFA0-51FA6F9E3F38}"/>
    <cellStyle name="Note 3 5 2 4" xfId="9555" xr:uid="{DFF5776C-B252-4059-8674-915AAA019867}"/>
    <cellStyle name="Note 3 5 3" xfId="1436" xr:uid="{00000000-0005-0000-0000-0000F0210000}"/>
    <cellStyle name="Note 3 5 3 2" xfId="3666" xr:uid="{00000000-0005-0000-0000-0000F1210000}"/>
    <cellStyle name="Note 3 5 3 2 2" xfId="7889" xr:uid="{00000000-0005-0000-0000-0000F2210000}"/>
    <cellStyle name="Note 3 5 3 2 2 2" xfId="16331" xr:uid="{D64B928F-EA66-447D-A5B4-6E49FE96A63B}"/>
    <cellStyle name="Note 3 5 3 2 3" xfId="12113" xr:uid="{8DC44C5D-988A-431A-A632-837D64F2DAB9}"/>
    <cellStyle name="Note 3 5 3 3" xfId="5744" xr:uid="{00000000-0005-0000-0000-0000F3210000}"/>
    <cellStyle name="Note 3 5 3 3 2" xfId="14186" xr:uid="{50682977-451B-4B6D-81F4-308715531333}"/>
    <cellStyle name="Note 3 5 3 4" xfId="9968" xr:uid="{AC8BD8EB-FD0C-4A00-95D9-F3E92DDDAD38}"/>
    <cellStyle name="Note 3 5 4" xfId="1850" xr:uid="{00000000-0005-0000-0000-0000F4210000}"/>
    <cellStyle name="Note 3 5 4 2" xfId="4079" xr:uid="{00000000-0005-0000-0000-0000F5210000}"/>
    <cellStyle name="Note 3 5 4 2 2" xfId="8302" xr:uid="{00000000-0005-0000-0000-0000F6210000}"/>
    <cellStyle name="Note 3 5 4 2 2 2" xfId="16744" xr:uid="{51F0D795-85D4-40EB-99EE-160B74A7D1CF}"/>
    <cellStyle name="Note 3 5 4 2 3" xfId="12526" xr:uid="{94451685-C14F-497C-BDD6-3F7E1B2027F9}"/>
    <cellStyle name="Note 3 5 4 3" xfId="6157" xr:uid="{00000000-0005-0000-0000-0000F7210000}"/>
    <cellStyle name="Note 3 5 4 3 2" xfId="14599" xr:uid="{EBA85006-83C1-472D-8E47-8E195084A15A}"/>
    <cellStyle name="Note 3 5 4 4" xfId="10381" xr:uid="{19A226E1-2BDF-4F88-BD1D-4BF1C239EFB6}"/>
    <cellStyle name="Note 3 5 5" xfId="2263" xr:uid="{00000000-0005-0000-0000-0000F8210000}"/>
    <cellStyle name="Note 3 5 5 2" xfId="4492" xr:uid="{00000000-0005-0000-0000-0000F9210000}"/>
    <cellStyle name="Note 3 5 5 2 2" xfId="8715" xr:uid="{00000000-0005-0000-0000-0000FA210000}"/>
    <cellStyle name="Note 3 5 5 2 2 2" xfId="17157" xr:uid="{9D03CB15-33A1-44CF-AD2C-06E680114403}"/>
    <cellStyle name="Note 3 5 5 2 3" xfId="12939" xr:uid="{C4474817-5B57-45B8-AD0A-C01AA5985077}"/>
    <cellStyle name="Note 3 5 5 3" xfId="6570" xr:uid="{00000000-0005-0000-0000-0000FB210000}"/>
    <cellStyle name="Note 3 5 5 3 2" xfId="15012" xr:uid="{29AA5A79-0246-4BDC-AC8B-97ADD83FD300}"/>
    <cellStyle name="Note 3 5 5 4" xfId="10794" xr:uid="{6DA2C1F6-5D60-4719-A783-10E36A727565}"/>
    <cellStyle name="Note 3 5 6" xfId="2699" xr:uid="{00000000-0005-0000-0000-0000FC210000}"/>
    <cellStyle name="Note 3 5 6 2" xfId="6983" xr:uid="{00000000-0005-0000-0000-0000FD210000}"/>
    <cellStyle name="Note 3 5 6 2 2" xfId="15425" xr:uid="{BEBB0B56-8EDC-41D0-AF60-28AFADA4AD57}"/>
    <cellStyle name="Note 3 5 6 3" xfId="11207" xr:uid="{50FF312E-2FA3-4B34-8938-E649DE161E07}"/>
    <cellStyle name="Note 3 5 7" xfId="2758" xr:uid="{00000000-0005-0000-0000-0000FE210000}"/>
    <cellStyle name="Note 3 5 8" xfId="2839" xr:uid="{00000000-0005-0000-0000-0000FF210000}"/>
    <cellStyle name="Note 3 5 8 2" xfId="7063" xr:uid="{00000000-0005-0000-0000-000000220000}"/>
    <cellStyle name="Note 3 5 8 2 2" xfId="15505" xr:uid="{B8ED3B03-B608-4784-9664-18D3741B56CD}"/>
    <cellStyle name="Note 3 5 8 3" xfId="11287" xr:uid="{BF98125B-3638-4766-9EBC-0F3FFF3B347C}"/>
    <cellStyle name="Note 3 5 9" xfId="4918" xr:uid="{00000000-0005-0000-0000-000001220000}"/>
    <cellStyle name="Note 3 5 9 2" xfId="13360" xr:uid="{A3F1BE9A-4E55-4439-A65E-050733809F89}"/>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3 2" xfId="12943" xr:uid="{920568D2-A5BD-4E20-836D-DFD873659098}"/>
    <cellStyle name="Percent 4" xfId="4502" xr:uid="{00000000-0005-0000-0000-000007220000}"/>
    <cellStyle name="Percent 4 2" xfId="8718" xr:uid="{00000000-0005-0000-0000-000008220000}"/>
    <cellStyle name="Percent 4 2 2" xfId="17160" xr:uid="{B9326E8F-D348-45BF-8528-37E92B8002F6}"/>
    <cellStyle name="Percent 4 3" xfId="8721" xr:uid="{D09CD3FC-D632-4B66-A68A-5CC92F993799}"/>
    <cellStyle name="Percent 4 3 2" xfId="8725" xr:uid="{D57AE941-8E59-43F0-AB73-09B3BCCFA234}"/>
    <cellStyle name="Percent 4 3 2 2" xfId="8728" xr:uid="{D24D76A7-D076-4554-9944-551B122393DE}"/>
    <cellStyle name="Percent 4 3 2 2 2" xfId="17169" xr:uid="{B6062375-8058-4D41-9836-43A659817F9E}"/>
    <cellStyle name="Percent 4 3 2 3" xfId="17166" xr:uid="{41A30C63-D7BF-49BF-800E-9E0B7D84C707}"/>
    <cellStyle name="Percent 4 3 3" xfId="17163" xr:uid="{2812E399-931B-44D3-8008-CA65FC91EDFC}"/>
    <cellStyle name="Percent 4 4" xfId="12946" xr:uid="{729669CD-5260-476B-96E7-59EE8E1841D1}"/>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topLeftCell="A358"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82" t="s">
        <v>559</v>
      </c>
      <c r="B1" s="1282"/>
      <c r="C1" s="1282"/>
      <c r="D1" s="1282"/>
      <c r="E1" s="1282"/>
      <c r="F1" s="1282"/>
      <c r="G1" s="1282"/>
      <c r="H1" s="1282"/>
      <c r="I1" s="1282"/>
      <c r="J1" s="1282"/>
      <c r="K1" s="1282"/>
      <c r="L1" s="1282"/>
      <c r="M1" s="1282"/>
      <c r="N1" s="1282"/>
      <c r="O1" s="1282"/>
      <c r="P1" s="1282"/>
      <c r="Q1" s="1282"/>
      <c r="R1" s="1282"/>
      <c r="S1" s="1282"/>
      <c r="T1" s="1282"/>
      <c r="U1" s="1282"/>
      <c r="V1" s="1282"/>
      <c r="W1" s="1282"/>
      <c r="X1" s="1282"/>
      <c r="Y1" s="1282"/>
      <c r="Z1" s="1282"/>
      <c r="AA1" s="1282"/>
      <c r="AB1" s="1282"/>
      <c r="AC1" s="1282"/>
      <c r="AD1" s="1282"/>
      <c r="AE1" s="1282"/>
      <c r="AF1" s="1282"/>
      <c r="AG1" s="1282"/>
      <c r="AH1" s="1282"/>
      <c r="AI1" s="1282"/>
      <c r="AJ1" s="1282"/>
      <c r="AK1" s="1282"/>
      <c r="AL1" s="1282"/>
    </row>
    <row r="2" spans="1:38" ht="13.5" thickBot="1">
      <c r="A2" s="1283"/>
      <c r="B2" s="1283"/>
      <c r="C2" s="1283"/>
      <c r="D2" s="1283"/>
      <c r="E2" s="1283"/>
      <c r="F2" s="1283"/>
      <c r="G2" s="1283"/>
      <c r="H2" s="1283"/>
      <c r="I2" s="1283"/>
      <c r="J2" s="1283"/>
      <c r="K2" s="1283"/>
      <c r="L2" s="1283"/>
      <c r="M2" s="1283"/>
      <c r="N2" s="1283"/>
      <c r="O2" s="1283"/>
      <c r="P2" s="1283"/>
      <c r="Q2" s="1283"/>
      <c r="R2" s="1283"/>
      <c r="S2" s="1283"/>
      <c r="T2" s="1283"/>
      <c r="U2" s="1283"/>
      <c r="V2" s="1283"/>
      <c r="W2" s="1283"/>
      <c r="X2" s="1283"/>
      <c r="Y2" s="1283"/>
      <c r="Z2" s="1283"/>
      <c r="AA2" s="1283"/>
      <c r="AB2" s="1283"/>
      <c r="AC2" s="1283"/>
      <c r="AD2" s="1283"/>
      <c r="AE2" s="1283"/>
      <c r="AF2" s="1283"/>
      <c r="AG2" s="1283"/>
      <c r="AH2" s="1283"/>
      <c r="AI2" s="1283"/>
      <c r="AJ2" s="1283"/>
      <c r="AK2" s="1283"/>
      <c r="AL2" s="1283"/>
    </row>
    <row r="3" spans="1:38" ht="13.5"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72" t="s">
        <v>2349</v>
      </c>
      <c r="E7" s="1272"/>
      <c r="F7" s="1272"/>
      <c r="G7" s="1272"/>
      <c r="H7" s="1272"/>
      <c r="I7" s="1272"/>
      <c r="J7" s="1272"/>
      <c r="K7" s="1272"/>
      <c r="L7" s="1272"/>
      <c r="M7" s="1272"/>
      <c r="N7" s="1272"/>
      <c r="O7" s="1272"/>
      <c r="P7" s="1272"/>
      <c r="Q7" s="1272"/>
      <c r="R7" s="1272"/>
      <c r="S7" s="1272"/>
      <c r="T7" s="1272"/>
      <c r="U7" s="1272"/>
      <c r="V7" s="1272"/>
      <c r="W7" s="1272"/>
      <c r="X7" s="1272"/>
      <c r="Y7" s="1272"/>
      <c r="Z7" s="1272"/>
      <c r="AA7" s="1272"/>
      <c r="AB7" s="1272"/>
      <c r="AC7" s="1272"/>
      <c r="AD7" s="1272"/>
      <c r="AE7" s="1272"/>
      <c r="AF7" s="1272"/>
      <c r="AG7" s="1272"/>
      <c r="AH7" s="1272"/>
      <c r="AI7" s="1272"/>
      <c r="AJ7" s="1272"/>
      <c r="AK7" s="1272"/>
      <c r="AL7" s="489"/>
    </row>
    <row r="8" spans="1:38">
      <c r="A8" s="218"/>
      <c r="B8" s="218"/>
      <c r="C8" s="219"/>
      <c r="D8" s="1272"/>
      <c r="E8" s="1272"/>
      <c r="F8" s="1272"/>
      <c r="G8" s="1272"/>
      <c r="H8" s="1272"/>
      <c r="I8" s="1272"/>
      <c r="J8" s="1272"/>
      <c r="K8" s="1272"/>
      <c r="L8" s="1272"/>
      <c r="M8" s="1272"/>
      <c r="N8" s="1272"/>
      <c r="O8" s="1272"/>
      <c r="P8" s="1272"/>
      <c r="Q8" s="1272"/>
      <c r="R8" s="1272"/>
      <c r="S8" s="1272"/>
      <c r="T8" s="1272"/>
      <c r="U8" s="1272"/>
      <c r="V8" s="1272"/>
      <c r="W8" s="1272"/>
      <c r="X8" s="1272"/>
      <c r="Y8" s="1272"/>
      <c r="Z8" s="1272"/>
      <c r="AA8" s="1272"/>
      <c r="AB8" s="1272"/>
      <c r="AC8" s="1272"/>
      <c r="AD8" s="1272"/>
      <c r="AE8" s="1272"/>
      <c r="AF8" s="1272"/>
      <c r="AG8" s="1272"/>
      <c r="AH8" s="1272"/>
      <c r="AI8" s="1272"/>
      <c r="AJ8" s="1272"/>
      <c r="AK8" s="1272"/>
      <c r="AL8" s="489"/>
    </row>
    <row r="9" spans="1:38">
      <c r="A9" s="218"/>
      <c r="B9" s="218"/>
      <c r="C9" s="219"/>
      <c r="D9" s="1272"/>
      <c r="E9" s="1272"/>
      <c r="F9" s="1272"/>
      <c r="G9" s="1272"/>
      <c r="H9" s="1272"/>
      <c r="I9" s="1272"/>
      <c r="J9" s="1272"/>
      <c r="K9" s="1272"/>
      <c r="L9" s="1272"/>
      <c r="M9" s="1272"/>
      <c r="N9" s="1272"/>
      <c r="O9" s="1272"/>
      <c r="P9" s="1272"/>
      <c r="Q9" s="1272"/>
      <c r="R9" s="1272"/>
      <c r="S9" s="1272"/>
      <c r="T9" s="1272"/>
      <c r="U9" s="1272"/>
      <c r="V9" s="1272"/>
      <c r="W9" s="1272"/>
      <c r="X9" s="1272"/>
      <c r="Y9" s="1272"/>
      <c r="Z9" s="1272"/>
      <c r="AA9" s="1272"/>
      <c r="AB9" s="1272"/>
      <c r="AC9" s="1272"/>
      <c r="AD9" s="1272"/>
      <c r="AE9" s="1272"/>
      <c r="AF9" s="1272"/>
      <c r="AG9" s="1272"/>
      <c r="AH9" s="1272"/>
      <c r="AI9" s="1272"/>
      <c r="AJ9" s="1272"/>
      <c r="AK9" s="1272"/>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72" t="s">
        <v>2350</v>
      </c>
      <c r="E11" s="1272"/>
      <c r="F11" s="1272"/>
      <c r="G11" s="1272"/>
      <c r="H11" s="1272"/>
      <c r="I11" s="1272"/>
      <c r="J11" s="1272"/>
      <c r="K11" s="1272"/>
      <c r="L11" s="1272"/>
      <c r="M11" s="1272"/>
      <c r="N11" s="1272"/>
      <c r="O11" s="1272"/>
      <c r="P11" s="1272"/>
      <c r="Q11" s="1272"/>
      <c r="R11" s="1272"/>
      <c r="S11" s="1272"/>
      <c r="T11" s="1272"/>
      <c r="U11" s="1272"/>
      <c r="V11" s="1272"/>
      <c r="W11" s="1272"/>
      <c r="X11" s="1272"/>
      <c r="Y11" s="1272"/>
      <c r="Z11" s="1272"/>
      <c r="AA11" s="1272"/>
      <c r="AB11" s="1272"/>
      <c r="AC11" s="1272"/>
      <c r="AD11" s="1272"/>
      <c r="AE11" s="1272"/>
      <c r="AF11" s="1272"/>
      <c r="AG11" s="1272"/>
      <c r="AH11" s="1272"/>
      <c r="AI11" s="1272"/>
      <c r="AJ11" s="1272"/>
      <c r="AK11" s="1272"/>
      <c r="AL11" s="489"/>
    </row>
    <row r="12" spans="1:38">
      <c r="A12" s="218"/>
      <c r="B12" s="218"/>
      <c r="C12" s="219"/>
      <c r="D12" s="1272"/>
      <c r="E12" s="1272"/>
      <c r="F12" s="1272"/>
      <c r="G12" s="1272"/>
      <c r="H12" s="1272"/>
      <c r="I12" s="1272"/>
      <c r="J12" s="1272"/>
      <c r="K12" s="1272"/>
      <c r="L12" s="1272"/>
      <c r="M12" s="1272"/>
      <c r="N12" s="1272"/>
      <c r="O12" s="1272"/>
      <c r="P12" s="1272"/>
      <c r="Q12" s="1272"/>
      <c r="R12" s="1272"/>
      <c r="S12" s="1272"/>
      <c r="T12" s="1272"/>
      <c r="U12" s="1272"/>
      <c r="V12" s="1272"/>
      <c r="W12" s="1272"/>
      <c r="X12" s="1272"/>
      <c r="Y12" s="1272"/>
      <c r="Z12" s="1272"/>
      <c r="AA12" s="1272"/>
      <c r="AB12" s="1272"/>
      <c r="AC12" s="1272"/>
      <c r="AD12" s="1272"/>
      <c r="AE12" s="1272"/>
      <c r="AF12" s="1272"/>
      <c r="AG12" s="1272"/>
      <c r="AH12" s="1272"/>
      <c r="AI12" s="1272"/>
      <c r="AJ12" s="1272"/>
      <c r="AK12" s="1272"/>
      <c r="AL12" s="489"/>
    </row>
    <row r="13" spans="1:38">
      <c r="A13" s="218"/>
      <c r="B13" s="218"/>
      <c r="C13" s="219"/>
      <c r="D13" s="1272"/>
      <c r="E13" s="1272"/>
      <c r="F13" s="1272"/>
      <c r="G13" s="1272"/>
      <c r="H13" s="1272"/>
      <c r="I13" s="1272"/>
      <c r="J13" s="1272"/>
      <c r="K13" s="1272"/>
      <c r="L13" s="1272"/>
      <c r="M13" s="1272"/>
      <c r="N13" s="1272"/>
      <c r="O13" s="1272"/>
      <c r="P13" s="1272"/>
      <c r="Q13" s="1272"/>
      <c r="R13" s="1272"/>
      <c r="S13" s="1272"/>
      <c r="T13" s="1272"/>
      <c r="U13" s="1272"/>
      <c r="V13" s="1272"/>
      <c r="W13" s="1272"/>
      <c r="X13" s="1272"/>
      <c r="Y13" s="1272"/>
      <c r="Z13" s="1272"/>
      <c r="AA13" s="1272"/>
      <c r="AB13" s="1272"/>
      <c r="AC13" s="1272"/>
      <c r="AD13" s="1272"/>
      <c r="AE13" s="1272"/>
      <c r="AF13" s="1272"/>
      <c r="AG13" s="1272"/>
      <c r="AH13" s="1272"/>
      <c r="AI13" s="1272"/>
      <c r="AJ13" s="1272"/>
      <c r="AK13" s="1272"/>
      <c r="AL13" s="489"/>
    </row>
    <row r="14" spans="1:38" ht="13.15" customHeight="1">
      <c r="A14" s="218"/>
      <c r="B14" s="218"/>
      <c r="C14" s="219"/>
      <c r="E14" s="1272" t="s">
        <v>2577</v>
      </c>
      <c r="F14" s="1272"/>
      <c r="G14" s="1272"/>
      <c r="H14" s="1272"/>
      <c r="I14" s="1272"/>
      <c r="J14" s="1272"/>
      <c r="K14" s="1272"/>
      <c r="L14" s="1272"/>
      <c r="M14" s="1272"/>
      <c r="N14" s="1272"/>
      <c r="O14" s="1272"/>
      <c r="P14" s="1272"/>
      <c r="Q14" s="1272"/>
      <c r="R14" s="1272"/>
      <c r="S14" s="1272"/>
      <c r="T14" s="1272"/>
      <c r="U14" s="1272"/>
      <c r="V14" s="1272"/>
      <c r="W14" s="1272"/>
      <c r="X14" s="1272"/>
      <c r="Y14" s="1272"/>
      <c r="Z14" s="1272"/>
      <c r="AA14" s="1272"/>
      <c r="AB14" s="1272"/>
      <c r="AC14" s="1272"/>
      <c r="AD14" s="1272"/>
      <c r="AE14" s="1272"/>
      <c r="AF14" s="1272"/>
      <c r="AG14" s="1272"/>
      <c r="AH14" s="1272"/>
      <c r="AI14" s="1272"/>
      <c r="AJ14" s="1272"/>
      <c r="AK14" s="1272"/>
      <c r="AL14" s="489"/>
    </row>
    <row r="15" spans="1:38" ht="13.15" customHeight="1">
      <c r="A15" s="218"/>
      <c r="B15" s="218"/>
      <c r="C15" s="219"/>
      <c r="E15" s="1272"/>
      <c r="F15" s="1272"/>
      <c r="G15" s="1272"/>
      <c r="H15" s="1272"/>
      <c r="I15" s="1272"/>
      <c r="J15" s="1272"/>
      <c r="K15" s="1272"/>
      <c r="L15" s="1272"/>
      <c r="M15" s="1272"/>
      <c r="N15" s="1272"/>
      <c r="O15" s="1272"/>
      <c r="P15" s="1272"/>
      <c r="Q15" s="1272"/>
      <c r="R15" s="1272"/>
      <c r="S15" s="1272"/>
      <c r="T15" s="1272"/>
      <c r="U15" s="1272"/>
      <c r="V15" s="1272"/>
      <c r="W15" s="1272"/>
      <c r="X15" s="1272"/>
      <c r="Y15" s="1272"/>
      <c r="Z15" s="1272"/>
      <c r="AA15" s="1272"/>
      <c r="AB15" s="1272"/>
      <c r="AC15" s="1272"/>
      <c r="AD15" s="1272"/>
      <c r="AE15" s="1272"/>
      <c r="AF15" s="1272"/>
      <c r="AG15" s="1272"/>
      <c r="AH15" s="1272"/>
      <c r="AI15" s="1272"/>
      <c r="AJ15" s="1272"/>
      <c r="AK15" s="1272"/>
      <c r="AL15" s="489"/>
    </row>
    <row r="16" spans="1:38">
      <c r="A16" s="218"/>
      <c r="B16" s="218"/>
      <c r="C16" s="219"/>
      <c r="D16" s="489"/>
      <c r="E16" s="1272"/>
      <c r="F16" s="1272"/>
      <c r="G16" s="1272"/>
      <c r="H16" s="1272"/>
      <c r="I16" s="1272"/>
      <c r="J16" s="1272"/>
      <c r="K16" s="1272"/>
      <c r="L16" s="1272"/>
      <c r="M16" s="1272"/>
      <c r="N16" s="1272"/>
      <c r="O16" s="1272"/>
      <c r="P16" s="1272"/>
      <c r="Q16" s="1272"/>
      <c r="R16" s="1272"/>
      <c r="S16" s="1272"/>
      <c r="T16" s="1272"/>
      <c r="U16" s="1272"/>
      <c r="V16" s="1272"/>
      <c r="W16" s="1272"/>
      <c r="X16" s="1272"/>
      <c r="Y16" s="1272"/>
      <c r="Z16" s="1272"/>
      <c r="AA16" s="1272"/>
      <c r="AB16" s="1272"/>
      <c r="AC16" s="1272"/>
      <c r="AD16" s="1272"/>
      <c r="AE16" s="1272"/>
      <c r="AF16" s="1272"/>
      <c r="AG16" s="1272"/>
      <c r="AH16" s="1272"/>
      <c r="AI16" s="1272"/>
      <c r="AJ16" s="1272"/>
      <c r="AK16" s="1272"/>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72" t="s">
        <v>2351</v>
      </c>
      <c r="E18" s="1272"/>
      <c r="F18" s="1272"/>
      <c r="G18" s="1272"/>
      <c r="H18" s="1272"/>
      <c r="I18" s="1272"/>
      <c r="J18" s="1272"/>
      <c r="K18" s="1272"/>
      <c r="L18" s="1272"/>
      <c r="M18" s="1272"/>
      <c r="N18" s="1272"/>
      <c r="O18" s="1272"/>
      <c r="P18" s="1272"/>
      <c r="Q18" s="1272"/>
      <c r="R18" s="1272"/>
      <c r="S18" s="1272"/>
      <c r="T18" s="1272"/>
      <c r="U18" s="1272"/>
      <c r="V18" s="1272"/>
      <c r="W18" s="1272"/>
      <c r="X18" s="1272"/>
      <c r="Y18" s="1272"/>
      <c r="Z18" s="1272"/>
      <c r="AA18" s="1272"/>
      <c r="AB18" s="1272"/>
      <c r="AC18" s="1272"/>
      <c r="AD18" s="1272"/>
      <c r="AE18" s="1272"/>
      <c r="AF18" s="1272"/>
      <c r="AG18" s="1272"/>
      <c r="AH18" s="1272"/>
      <c r="AI18" s="1272"/>
      <c r="AJ18" s="1272"/>
      <c r="AK18" s="1272"/>
      <c r="AL18" s="218"/>
    </row>
    <row r="19" spans="1:38">
      <c r="A19" s="218"/>
      <c r="B19" s="218"/>
      <c r="C19" s="219"/>
      <c r="D19" s="1272"/>
      <c r="E19" s="1272"/>
      <c r="F19" s="1272"/>
      <c r="G19" s="1272"/>
      <c r="H19" s="1272"/>
      <c r="I19" s="1272"/>
      <c r="J19" s="1272"/>
      <c r="K19" s="1272"/>
      <c r="L19" s="1272"/>
      <c r="M19" s="1272"/>
      <c r="N19" s="1272"/>
      <c r="O19" s="1272"/>
      <c r="P19" s="1272"/>
      <c r="Q19" s="1272"/>
      <c r="R19" s="1272"/>
      <c r="S19" s="1272"/>
      <c r="T19" s="1272"/>
      <c r="U19" s="1272"/>
      <c r="V19" s="1272"/>
      <c r="W19" s="1272"/>
      <c r="X19" s="1272"/>
      <c r="Y19" s="1272"/>
      <c r="Z19" s="1272"/>
      <c r="AA19" s="1272"/>
      <c r="AB19" s="1272"/>
      <c r="AC19" s="1272"/>
      <c r="AD19" s="1272"/>
      <c r="AE19" s="1272"/>
      <c r="AF19" s="1272"/>
      <c r="AG19" s="1272"/>
      <c r="AH19" s="1272"/>
      <c r="AI19" s="1272"/>
      <c r="AJ19" s="1272"/>
      <c r="AK19" s="1272"/>
      <c r="AL19" s="218"/>
    </row>
    <row r="20" spans="1:38">
      <c r="A20" s="218"/>
      <c r="B20" s="218"/>
      <c r="C20" s="219"/>
      <c r="D20" s="1272"/>
      <c r="E20" s="1272"/>
      <c r="F20" s="1272"/>
      <c r="G20" s="1272"/>
      <c r="H20" s="1272"/>
      <c r="I20" s="1272"/>
      <c r="J20" s="1272"/>
      <c r="K20" s="1272"/>
      <c r="L20" s="1272"/>
      <c r="M20" s="1272"/>
      <c r="N20" s="1272"/>
      <c r="O20" s="1272"/>
      <c r="P20" s="1272"/>
      <c r="Q20" s="1272"/>
      <c r="R20" s="1272"/>
      <c r="S20" s="1272"/>
      <c r="T20" s="1272"/>
      <c r="U20" s="1272"/>
      <c r="V20" s="1272"/>
      <c r="W20" s="1272"/>
      <c r="X20" s="1272"/>
      <c r="Y20" s="1272"/>
      <c r="Z20" s="1272"/>
      <c r="AA20" s="1272"/>
      <c r="AB20" s="1272"/>
      <c r="AC20" s="1272"/>
      <c r="AD20" s="1272"/>
      <c r="AE20" s="1272"/>
      <c r="AF20" s="1272"/>
      <c r="AG20" s="1272"/>
      <c r="AH20" s="1272"/>
      <c r="AI20" s="1272"/>
      <c r="AJ20" s="1272"/>
      <c r="AK20" s="1272"/>
      <c r="AL20" s="218"/>
    </row>
    <row r="21" spans="1:38" ht="13.15" customHeight="1">
      <c r="A21" s="218"/>
      <c r="B21" s="218"/>
      <c r="C21" s="219"/>
      <c r="D21" s="1272"/>
      <c r="E21" s="1272"/>
      <c r="F21" s="1272"/>
      <c r="G21" s="1272"/>
      <c r="H21" s="1272"/>
      <c r="I21" s="1272"/>
      <c r="J21" s="1272"/>
      <c r="K21" s="1272"/>
      <c r="L21" s="1272"/>
      <c r="M21" s="1272"/>
      <c r="N21" s="1272"/>
      <c r="O21" s="1272"/>
      <c r="P21" s="1272"/>
      <c r="Q21" s="1272"/>
      <c r="R21" s="1272"/>
      <c r="S21" s="1272"/>
      <c r="T21" s="1272"/>
      <c r="U21" s="1272"/>
      <c r="V21" s="1272"/>
      <c r="W21" s="1272"/>
      <c r="X21" s="1272"/>
      <c r="Y21" s="1272"/>
      <c r="Z21" s="1272"/>
      <c r="AA21" s="1272"/>
      <c r="AB21" s="1272"/>
      <c r="AC21" s="1272"/>
      <c r="AD21" s="1272"/>
      <c r="AE21" s="1272"/>
      <c r="AF21" s="1272"/>
      <c r="AG21" s="1272"/>
      <c r="AH21" s="1272"/>
      <c r="AI21" s="1272"/>
      <c r="AJ21" s="1272"/>
      <c r="AK21" s="1272"/>
      <c r="AL21" s="218"/>
    </row>
    <row r="22" spans="1:38">
      <c r="A22" s="218"/>
      <c r="B22" s="218"/>
      <c r="C22" s="219"/>
      <c r="D22" s="1272"/>
      <c r="E22" s="1272"/>
      <c r="F22" s="1272"/>
      <c r="G22" s="1272"/>
      <c r="H22" s="1272"/>
      <c r="I22" s="1272"/>
      <c r="J22" s="1272"/>
      <c r="K22" s="1272"/>
      <c r="L22" s="1272"/>
      <c r="M22" s="1272"/>
      <c r="N22" s="1272"/>
      <c r="O22" s="1272"/>
      <c r="P22" s="1272"/>
      <c r="Q22" s="1272"/>
      <c r="R22" s="1272"/>
      <c r="S22" s="1272"/>
      <c r="T22" s="1272"/>
      <c r="U22" s="1272"/>
      <c r="V22" s="1272"/>
      <c r="W22" s="1272"/>
      <c r="X22" s="1272"/>
      <c r="Y22" s="1272"/>
      <c r="Z22" s="1272"/>
      <c r="AA22" s="1272"/>
      <c r="AB22" s="1272"/>
      <c r="AC22" s="1272"/>
      <c r="AD22" s="1272"/>
      <c r="AE22" s="1272"/>
      <c r="AF22" s="1272"/>
      <c r="AG22" s="1272"/>
      <c r="AH22" s="1272"/>
      <c r="AI22" s="1272"/>
      <c r="AJ22" s="1272"/>
      <c r="AK22" s="1272"/>
      <c r="AL22" s="218"/>
    </row>
    <row r="23" spans="1:38">
      <c r="A23" s="218"/>
      <c r="B23" s="218"/>
      <c r="C23" s="219"/>
      <c r="D23" s="1272"/>
      <c r="E23" s="1272"/>
      <c r="F23" s="1272"/>
      <c r="G23" s="1272"/>
      <c r="H23" s="1272"/>
      <c r="I23" s="1272"/>
      <c r="J23" s="1272"/>
      <c r="K23" s="1272"/>
      <c r="L23" s="1272"/>
      <c r="M23" s="1272"/>
      <c r="N23" s="1272"/>
      <c r="O23" s="1272"/>
      <c r="P23" s="1272"/>
      <c r="Q23" s="1272"/>
      <c r="R23" s="1272"/>
      <c r="S23" s="1272"/>
      <c r="T23" s="1272"/>
      <c r="U23" s="1272"/>
      <c r="V23" s="1272"/>
      <c r="W23" s="1272"/>
      <c r="X23" s="1272"/>
      <c r="Y23" s="1272"/>
      <c r="Z23" s="1272"/>
      <c r="AA23" s="1272"/>
      <c r="AB23" s="1272"/>
      <c r="AC23" s="1272"/>
      <c r="AD23" s="1272"/>
      <c r="AE23" s="1272"/>
      <c r="AF23" s="1272"/>
      <c r="AG23" s="1272"/>
      <c r="AH23" s="1272"/>
      <c r="AI23" s="1272"/>
      <c r="AJ23" s="1272"/>
      <c r="AK23" s="1272"/>
      <c r="AL23" s="218"/>
    </row>
    <row r="24" spans="1:38">
      <c r="A24" s="218"/>
      <c r="B24" s="218"/>
      <c r="C24" s="219"/>
      <c r="D24" s="1272"/>
      <c r="E24" s="1272"/>
      <c r="F24" s="1272"/>
      <c r="G24" s="1272"/>
      <c r="H24" s="1272"/>
      <c r="I24" s="1272"/>
      <c r="J24" s="1272"/>
      <c r="K24" s="1272"/>
      <c r="L24" s="1272"/>
      <c r="M24" s="1272"/>
      <c r="N24" s="1272"/>
      <c r="O24" s="1272"/>
      <c r="P24" s="1272"/>
      <c r="Q24" s="1272"/>
      <c r="R24" s="1272"/>
      <c r="S24" s="1272"/>
      <c r="T24" s="1272"/>
      <c r="U24" s="1272"/>
      <c r="V24" s="1272"/>
      <c r="W24" s="1272"/>
      <c r="X24" s="1272"/>
      <c r="Y24" s="1272"/>
      <c r="Z24" s="1272"/>
      <c r="AA24" s="1272"/>
      <c r="AB24" s="1272"/>
      <c r="AC24" s="1272"/>
      <c r="AD24" s="1272"/>
      <c r="AE24" s="1272"/>
      <c r="AF24" s="1272"/>
      <c r="AG24" s="1272"/>
      <c r="AH24" s="1272"/>
      <c r="AI24" s="1272"/>
      <c r="AJ24" s="1272"/>
      <c r="AK24" s="1272"/>
      <c r="AL24" s="218"/>
    </row>
    <row r="25" spans="1:38">
      <c r="A25" s="218"/>
      <c r="B25" s="218"/>
      <c r="C25" s="219"/>
      <c r="D25" s="1272"/>
      <c r="E25" s="1272"/>
      <c r="F25" s="1272"/>
      <c r="G25" s="1272"/>
      <c r="H25" s="1272"/>
      <c r="I25" s="1272"/>
      <c r="J25" s="1272"/>
      <c r="K25" s="1272"/>
      <c r="L25" s="1272"/>
      <c r="M25" s="1272"/>
      <c r="N25" s="1272"/>
      <c r="O25" s="1272"/>
      <c r="P25" s="1272"/>
      <c r="Q25" s="1272"/>
      <c r="R25" s="1272"/>
      <c r="S25" s="1272"/>
      <c r="T25" s="1272"/>
      <c r="U25" s="1272"/>
      <c r="V25" s="1272"/>
      <c r="W25" s="1272"/>
      <c r="X25" s="1272"/>
      <c r="Y25" s="1272"/>
      <c r="Z25" s="1272"/>
      <c r="AA25" s="1272"/>
      <c r="AB25" s="1272"/>
      <c r="AC25" s="1272"/>
      <c r="AD25" s="1272"/>
      <c r="AE25" s="1272"/>
      <c r="AF25" s="1272"/>
      <c r="AG25" s="1272"/>
      <c r="AH25" s="1272"/>
      <c r="AI25" s="1272"/>
      <c r="AJ25" s="1272"/>
      <c r="AK25" s="1272"/>
      <c r="AL25" s="218"/>
    </row>
    <row r="26" spans="1:38">
      <c r="A26" s="218"/>
      <c r="B26" s="218"/>
      <c r="C26" s="219"/>
      <c r="D26" s="1272"/>
      <c r="E26" s="1272"/>
      <c r="F26" s="1272"/>
      <c r="G26" s="1272"/>
      <c r="H26" s="1272"/>
      <c r="I26" s="1272"/>
      <c r="J26" s="1272"/>
      <c r="K26" s="1272"/>
      <c r="L26" s="1272"/>
      <c r="M26" s="1272"/>
      <c r="N26" s="1272"/>
      <c r="O26" s="1272"/>
      <c r="P26" s="1272"/>
      <c r="Q26" s="1272"/>
      <c r="R26" s="1272"/>
      <c r="S26" s="1272"/>
      <c r="T26" s="1272"/>
      <c r="U26" s="1272"/>
      <c r="V26" s="1272"/>
      <c r="W26" s="1272"/>
      <c r="X26" s="1272"/>
      <c r="Y26" s="1272"/>
      <c r="Z26" s="1272"/>
      <c r="AA26" s="1272"/>
      <c r="AB26" s="1272"/>
      <c r="AC26" s="1272"/>
      <c r="AD26" s="1272"/>
      <c r="AE26" s="1272"/>
      <c r="AF26" s="1272"/>
      <c r="AG26" s="1272"/>
      <c r="AH26" s="1272"/>
      <c r="AI26" s="1272"/>
      <c r="AJ26" s="1272"/>
      <c r="AK26" s="1272"/>
      <c r="AL26" s="218"/>
    </row>
    <row r="27" spans="1:38" ht="11.85" customHeight="1">
      <c r="A27" s="218"/>
      <c r="B27" s="218"/>
      <c r="C27" s="219"/>
      <c r="D27" s="1272"/>
      <c r="E27" s="1272"/>
      <c r="F27" s="1272"/>
      <c r="G27" s="1272"/>
      <c r="H27" s="1272"/>
      <c r="I27" s="1272"/>
      <c r="J27" s="1272"/>
      <c r="K27" s="1272"/>
      <c r="L27" s="1272"/>
      <c r="M27" s="1272"/>
      <c r="N27" s="1272"/>
      <c r="O27" s="1272"/>
      <c r="P27" s="1272"/>
      <c r="Q27" s="1272"/>
      <c r="R27" s="1272"/>
      <c r="S27" s="1272"/>
      <c r="T27" s="1272"/>
      <c r="U27" s="1272"/>
      <c r="V27" s="1272"/>
      <c r="W27" s="1272"/>
      <c r="X27" s="1272"/>
      <c r="Y27" s="1272"/>
      <c r="Z27" s="1272"/>
      <c r="AA27" s="1272"/>
      <c r="AB27" s="1272"/>
      <c r="AC27" s="1272"/>
      <c r="AD27" s="1272"/>
      <c r="AE27" s="1272"/>
      <c r="AF27" s="1272"/>
      <c r="AG27" s="1272"/>
      <c r="AH27" s="1272"/>
      <c r="AI27" s="1272"/>
      <c r="AJ27" s="1272"/>
      <c r="AK27" s="1272"/>
      <c r="AL27" s="218"/>
    </row>
    <row r="28" spans="1:38" ht="13.15" hidden="1" customHeight="1">
      <c r="A28" s="218"/>
      <c r="B28" s="218"/>
      <c r="C28" s="219"/>
      <c r="E28" s="1272" t="s">
        <v>2506</v>
      </c>
      <c r="F28" s="1272"/>
      <c r="G28" s="1272"/>
      <c r="H28" s="1272"/>
      <c r="I28" s="1272"/>
      <c r="J28" s="1272"/>
      <c r="K28" s="1272"/>
      <c r="L28" s="1272"/>
      <c r="M28" s="1272"/>
      <c r="N28" s="1272"/>
      <c r="O28" s="1272"/>
      <c r="P28" s="1272"/>
      <c r="Q28" s="1272"/>
      <c r="R28" s="1272"/>
      <c r="S28" s="1272"/>
      <c r="T28" s="1272"/>
      <c r="U28" s="1272"/>
      <c r="V28" s="1272"/>
      <c r="W28" s="1272"/>
      <c r="X28" s="1272"/>
      <c r="Y28" s="1272"/>
      <c r="Z28" s="1272"/>
      <c r="AA28" s="1272"/>
      <c r="AB28" s="1272"/>
      <c r="AC28" s="1272"/>
      <c r="AD28" s="1272"/>
      <c r="AE28" s="1272"/>
      <c r="AF28" s="1272"/>
      <c r="AG28" s="1272"/>
      <c r="AH28" s="1272"/>
      <c r="AI28" s="1272"/>
      <c r="AJ28" s="1272"/>
      <c r="AK28" s="1272"/>
      <c r="AL28" s="218"/>
    </row>
    <row r="29" spans="1:38" ht="13.15" hidden="1" customHeight="1">
      <c r="A29" s="218"/>
      <c r="B29" s="218"/>
      <c r="C29" s="219"/>
      <c r="E29" s="1272"/>
      <c r="F29" s="1272"/>
      <c r="G29" s="1272"/>
      <c r="H29" s="1272"/>
      <c r="I29" s="1272"/>
      <c r="J29" s="1272"/>
      <c r="K29" s="1272"/>
      <c r="L29" s="1272"/>
      <c r="M29" s="1272"/>
      <c r="N29" s="1272"/>
      <c r="O29" s="1272"/>
      <c r="P29" s="1272"/>
      <c r="Q29" s="1272"/>
      <c r="R29" s="1272"/>
      <c r="S29" s="1272"/>
      <c r="T29" s="1272"/>
      <c r="U29" s="1272"/>
      <c r="V29" s="1272"/>
      <c r="W29" s="1272"/>
      <c r="X29" s="1272"/>
      <c r="Y29" s="1272"/>
      <c r="Z29" s="1272"/>
      <c r="AA29" s="1272"/>
      <c r="AB29" s="1272"/>
      <c r="AC29" s="1272"/>
      <c r="AD29" s="1272"/>
      <c r="AE29" s="1272"/>
      <c r="AF29" s="1272"/>
      <c r="AG29" s="1272"/>
      <c r="AH29" s="1272"/>
      <c r="AI29" s="1272"/>
      <c r="AJ29" s="1272"/>
      <c r="AK29" s="1272"/>
      <c r="AL29" s="218"/>
    </row>
    <row r="30" spans="1:38" hidden="1">
      <c r="A30" s="218"/>
      <c r="B30" s="218"/>
      <c r="C30" s="219"/>
      <c r="D30" s="489"/>
      <c r="E30" s="1272"/>
      <c r="F30" s="1272"/>
      <c r="G30" s="1272"/>
      <c r="H30" s="1272"/>
      <c r="I30" s="1272"/>
      <c r="J30" s="1272"/>
      <c r="K30" s="1272"/>
      <c r="L30" s="1272"/>
      <c r="M30" s="1272"/>
      <c r="N30" s="1272"/>
      <c r="O30" s="1272"/>
      <c r="P30" s="1272"/>
      <c r="Q30" s="1272"/>
      <c r="R30" s="1272"/>
      <c r="S30" s="1272"/>
      <c r="T30" s="1272"/>
      <c r="U30" s="1272"/>
      <c r="V30" s="1272"/>
      <c r="W30" s="1272"/>
      <c r="X30" s="1272"/>
      <c r="Y30" s="1272"/>
      <c r="Z30" s="1272"/>
      <c r="AA30" s="1272"/>
      <c r="AB30" s="1272"/>
      <c r="AC30" s="1272"/>
      <c r="AD30" s="1272"/>
      <c r="AE30" s="1272"/>
      <c r="AF30" s="1272"/>
      <c r="AG30" s="1272"/>
      <c r="AH30" s="1272"/>
      <c r="AI30" s="1272"/>
      <c r="AJ30" s="1272"/>
      <c r="AK30" s="1272"/>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72" t="s">
        <v>2352</v>
      </c>
      <c r="E32" s="1272"/>
      <c r="F32" s="1272"/>
      <c r="G32" s="1272"/>
      <c r="H32" s="1272"/>
      <c r="I32" s="1272"/>
      <c r="J32" s="1272"/>
      <c r="K32" s="1272"/>
      <c r="L32" s="1272"/>
      <c r="M32" s="1272"/>
      <c r="N32" s="1272"/>
      <c r="O32" s="1272"/>
      <c r="P32" s="1272"/>
      <c r="Q32" s="1272"/>
      <c r="R32" s="1272"/>
      <c r="S32" s="1272"/>
      <c r="T32" s="1272"/>
      <c r="U32" s="1272"/>
      <c r="V32" s="1272"/>
      <c r="W32" s="1272"/>
      <c r="X32" s="1272"/>
      <c r="Y32" s="1272"/>
      <c r="Z32" s="1272"/>
      <c r="AA32" s="1272"/>
      <c r="AB32" s="1272"/>
      <c r="AC32" s="1272"/>
      <c r="AD32" s="1272"/>
      <c r="AE32" s="1272"/>
      <c r="AF32" s="1272"/>
      <c r="AG32" s="1272"/>
      <c r="AH32" s="1272"/>
      <c r="AI32" s="1272"/>
      <c r="AJ32" s="1272"/>
      <c r="AK32" s="1272"/>
      <c r="AL32" s="218"/>
    </row>
    <row r="33" spans="1:38">
      <c r="A33" s="218"/>
      <c r="B33" s="218"/>
      <c r="C33" s="219"/>
      <c r="D33" s="489"/>
      <c r="E33" s="1273" t="s">
        <v>2583</v>
      </c>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c r="AL33" s="218"/>
    </row>
    <row r="34" spans="1:38">
      <c r="A34" s="4"/>
      <c r="C34" s="2"/>
    </row>
    <row r="35" spans="1:38">
      <c r="A35" s="4"/>
      <c r="D35" s="1284" t="s">
        <v>2501</v>
      </c>
      <c r="E35" s="1284"/>
      <c r="F35" s="1284"/>
      <c r="G35" s="1284"/>
      <c r="H35" s="1284"/>
      <c r="I35" s="1284"/>
      <c r="J35" s="1284"/>
      <c r="K35" s="1284"/>
      <c r="L35" s="1284"/>
      <c r="M35" s="1284"/>
      <c r="N35" s="1284"/>
      <c r="O35" s="1284"/>
      <c r="P35" s="1284"/>
      <c r="Q35" s="1284"/>
      <c r="R35" s="1284"/>
      <c r="S35" s="1284"/>
      <c r="T35" s="1284"/>
      <c r="U35" s="1284"/>
      <c r="V35" s="1284"/>
      <c r="W35" s="1284"/>
      <c r="X35" s="1284"/>
      <c r="Y35" s="1284"/>
      <c r="Z35" s="1284"/>
      <c r="AA35" s="1284"/>
      <c r="AB35" s="1284"/>
      <c r="AC35" s="1284"/>
      <c r="AD35" s="1284"/>
      <c r="AE35" s="1284"/>
      <c r="AF35" s="1284"/>
      <c r="AG35" s="1284"/>
      <c r="AH35" s="1284"/>
      <c r="AI35" s="1284"/>
      <c r="AJ35" s="1284"/>
      <c r="AK35" s="1284"/>
    </row>
    <row r="36" spans="1:38">
      <c r="A36" s="4"/>
      <c r="D36" s="1284"/>
      <c r="E36" s="1284"/>
      <c r="F36" s="1284"/>
      <c r="G36" s="1284"/>
      <c r="H36" s="1284"/>
      <c r="I36" s="1284"/>
      <c r="J36" s="1284"/>
      <c r="K36" s="1284"/>
      <c r="L36" s="1284"/>
      <c r="M36" s="1284"/>
      <c r="N36" s="1284"/>
      <c r="O36" s="1284"/>
      <c r="P36" s="1284"/>
      <c r="Q36" s="1284"/>
      <c r="R36" s="1284"/>
      <c r="S36" s="1284"/>
      <c r="T36" s="1284"/>
      <c r="U36" s="1284"/>
      <c r="V36" s="1284"/>
      <c r="W36" s="1284"/>
      <c r="X36" s="1284"/>
      <c r="Y36" s="1284"/>
      <c r="Z36" s="1284"/>
      <c r="AA36" s="1284"/>
      <c r="AB36" s="1284"/>
      <c r="AC36" s="1284"/>
      <c r="AD36" s="1284"/>
      <c r="AE36" s="1284"/>
      <c r="AF36" s="1284"/>
      <c r="AG36" s="1284"/>
      <c r="AH36" s="1284"/>
      <c r="AI36" s="1284"/>
      <c r="AJ36" s="1284"/>
      <c r="AK36" s="1284"/>
    </row>
    <row r="37" spans="1:38">
      <c r="A37" s="4"/>
      <c r="D37" s="120"/>
      <c r="E37" s="1279" t="s">
        <v>2359</v>
      </c>
      <c r="F37" s="1279"/>
      <c r="G37" s="1279"/>
      <c r="H37" s="1279"/>
      <c r="I37" s="1279"/>
      <c r="J37" s="1279"/>
      <c r="K37" s="1279"/>
      <c r="L37" s="1279"/>
      <c r="M37" s="1279"/>
      <c r="N37" s="1279"/>
      <c r="O37" s="1279"/>
      <c r="P37" s="1279"/>
      <c r="Q37" s="1279"/>
      <c r="R37" s="1279"/>
      <c r="S37" s="1279"/>
      <c r="T37" s="1279"/>
      <c r="U37" s="1279"/>
      <c r="V37" s="1279"/>
      <c r="W37" s="1279"/>
      <c r="X37" s="1279"/>
      <c r="Y37" s="1279"/>
      <c r="Z37" s="1279"/>
      <c r="AA37" s="1279"/>
      <c r="AB37" s="1279"/>
      <c r="AC37" s="1279"/>
      <c r="AD37" s="1279"/>
      <c r="AE37" s="1279"/>
      <c r="AF37" s="1279"/>
      <c r="AG37" s="1279"/>
      <c r="AH37" s="1279"/>
      <c r="AI37" s="1279"/>
      <c r="AJ37" s="1279"/>
      <c r="AK37" s="1279"/>
    </row>
    <row r="38" spans="1:38">
      <c r="A38" s="4"/>
      <c r="D38" s="120"/>
      <c r="E38" s="1279" t="s">
        <v>2360</v>
      </c>
      <c r="F38" s="1279"/>
      <c r="G38" s="1279"/>
      <c r="H38" s="1279"/>
      <c r="I38" s="1279"/>
      <c r="J38" s="1279"/>
      <c r="K38" s="1279"/>
      <c r="L38" s="1279"/>
      <c r="M38" s="1279"/>
      <c r="N38" s="1279"/>
      <c r="O38" s="1279"/>
      <c r="P38" s="1279"/>
      <c r="Q38" s="1279"/>
      <c r="R38" s="1279"/>
      <c r="S38" s="1279"/>
      <c r="T38" s="1279"/>
      <c r="U38" s="1279"/>
      <c r="V38" s="1279"/>
      <c r="W38" s="1279"/>
      <c r="X38" s="1279"/>
      <c r="Y38" s="1279"/>
      <c r="Z38" s="1279"/>
      <c r="AA38" s="1279"/>
      <c r="AB38" s="1279"/>
      <c r="AC38" s="1279"/>
      <c r="AD38" s="1279"/>
      <c r="AE38" s="1279"/>
      <c r="AF38" s="1279"/>
      <c r="AG38" s="1279"/>
      <c r="AH38" s="1279"/>
      <c r="AI38" s="1279"/>
      <c r="AJ38" s="1279"/>
      <c r="AK38" s="1279"/>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72" customFormat="1" ht="13.15" customHeight="1">
      <c r="A42" s="4"/>
      <c r="B42"/>
      <c r="C42" s="2"/>
      <c r="D42" s="4"/>
      <c r="E42" s="4" t="s">
        <v>662</v>
      </c>
      <c r="F42" s="1272" t="s">
        <v>1271</v>
      </c>
    </row>
    <row r="43" spans="1:38" s="1272" customFormat="1" ht="13.15" customHeight="1">
      <c r="A43" s="4"/>
      <c r="B43"/>
      <c r="C43" s="2"/>
      <c r="D43" s="4"/>
      <c r="E43" s="4"/>
    </row>
    <row r="44" spans="1:38">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8" t="s">
        <v>1355</v>
      </c>
      <c r="G45" s="1278"/>
      <c r="H45" s="1278"/>
      <c r="I45" s="1278"/>
      <c r="J45" s="1278"/>
      <c r="K45" s="1278"/>
      <c r="L45" s="1278"/>
      <c r="M45" s="1278"/>
      <c r="N45" s="1278"/>
      <c r="O45" s="1278"/>
      <c r="P45" s="1278"/>
      <c r="Q45" s="1278"/>
      <c r="R45" s="1278"/>
      <c r="S45" s="1278"/>
      <c r="T45" s="1278"/>
      <c r="U45" s="1278"/>
      <c r="V45" s="1278"/>
      <c r="W45" s="1278"/>
      <c r="X45" s="1278"/>
      <c r="Y45" s="1278"/>
      <c r="Z45" s="1278"/>
      <c r="AA45" s="1278"/>
      <c r="AB45" s="1278"/>
      <c r="AC45" s="1278"/>
      <c r="AD45" s="1278"/>
      <c r="AE45" s="1278"/>
      <c r="AF45" s="1278"/>
      <c r="AG45" s="1278"/>
      <c r="AH45" s="1278"/>
      <c r="AI45" s="1278"/>
      <c r="AJ45" s="1278"/>
      <c r="AK45" s="1278"/>
      <c r="AL45" s="1278"/>
    </row>
    <row r="46" spans="1:38" s="118" customFormat="1">
      <c r="A46" s="4"/>
      <c r="B46"/>
      <c r="C46" s="2"/>
      <c r="D46" s="4"/>
      <c r="E46" s="4"/>
      <c r="F46" s="1278"/>
      <c r="G46" s="1278"/>
      <c r="H46" s="1278"/>
      <c r="I46" s="1278"/>
      <c r="J46" s="1278"/>
      <c r="K46" s="1278"/>
      <c r="L46" s="1278"/>
      <c r="M46" s="1278"/>
      <c r="N46" s="1278"/>
      <c r="O46" s="1278"/>
      <c r="P46" s="1278"/>
      <c r="Q46" s="1278"/>
      <c r="R46" s="1278"/>
      <c r="S46" s="1278"/>
      <c r="T46" s="1278"/>
      <c r="U46" s="1278"/>
      <c r="V46" s="1278"/>
      <c r="W46" s="1278"/>
      <c r="X46" s="1278"/>
      <c r="Y46" s="1278"/>
      <c r="Z46" s="1278"/>
      <c r="AA46" s="1278"/>
      <c r="AB46" s="1278"/>
      <c r="AC46" s="1278"/>
      <c r="AD46" s="1278"/>
      <c r="AE46" s="1278"/>
      <c r="AF46" s="1278"/>
      <c r="AG46" s="1278"/>
      <c r="AH46" s="1278"/>
      <c r="AI46" s="1278"/>
      <c r="AJ46" s="1278"/>
      <c r="AK46" s="1278"/>
      <c r="AL46" s="1278"/>
    </row>
    <row r="47" spans="1:38" s="118" customFormat="1" ht="13.15" customHeight="1">
      <c r="A47" s="4"/>
      <c r="B47"/>
      <c r="C47" s="2"/>
      <c r="D47" s="4"/>
      <c r="E47" s="4"/>
      <c r="F47" s="1278"/>
      <c r="G47" s="1278"/>
      <c r="H47" s="1278"/>
      <c r="I47" s="1278"/>
      <c r="J47" s="1278"/>
      <c r="K47" s="1278"/>
      <c r="L47" s="1278"/>
      <c r="M47" s="1278"/>
      <c r="N47" s="1278"/>
      <c r="O47" s="1278"/>
      <c r="P47" s="1278"/>
      <c r="Q47" s="1278"/>
      <c r="R47" s="1278"/>
      <c r="S47" s="1278"/>
      <c r="T47" s="1278"/>
      <c r="U47" s="1278"/>
      <c r="V47" s="1278"/>
      <c r="W47" s="1278"/>
      <c r="X47" s="1278"/>
      <c r="Y47" s="1278"/>
      <c r="Z47" s="1278"/>
      <c r="AA47" s="1278"/>
      <c r="AB47" s="1278"/>
      <c r="AC47" s="1278"/>
      <c r="AD47" s="1278"/>
      <c r="AE47" s="1278"/>
      <c r="AF47" s="1278"/>
      <c r="AG47" s="1278"/>
      <c r="AH47" s="1278"/>
      <c r="AI47" s="1278"/>
      <c r="AJ47" s="1278"/>
      <c r="AK47" s="1278"/>
      <c r="AL47" s="1278"/>
    </row>
    <row r="48" spans="1:38">
      <c r="A48" s="4"/>
      <c r="C48" s="2"/>
      <c r="D48" s="4"/>
      <c r="E48" s="4"/>
      <c r="F48" s="118" t="s">
        <v>697</v>
      </c>
      <c r="G48" s="3" t="s">
        <v>2353</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72" t="s">
        <v>2354</v>
      </c>
      <c r="G50" s="1272"/>
      <c r="H50" s="1272"/>
      <c r="I50" s="1272"/>
      <c r="J50" s="1272"/>
      <c r="K50" s="1272"/>
      <c r="L50" s="1272"/>
      <c r="M50" s="1272"/>
      <c r="N50" s="1272"/>
      <c r="O50" s="1272"/>
      <c r="P50" s="1272"/>
      <c r="Q50" s="1272"/>
      <c r="R50" s="1272"/>
      <c r="S50" s="1272"/>
      <c r="T50" s="1272"/>
      <c r="U50" s="1272"/>
      <c r="V50" s="1272"/>
      <c r="W50" s="1272"/>
      <c r="X50" s="1272"/>
      <c r="Y50" s="1272"/>
      <c r="Z50" s="1272"/>
      <c r="AA50" s="1272"/>
      <c r="AB50" s="1272"/>
      <c r="AC50" s="1272"/>
      <c r="AD50" s="1272"/>
      <c r="AE50" s="1272"/>
      <c r="AF50" s="1272"/>
      <c r="AG50" s="1272"/>
      <c r="AH50" s="1272"/>
      <c r="AI50" s="1272"/>
      <c r="AJ50" s="1272"/>
      <c r="AK50" s="1272"/>
    </row>
    <row r="51" spans="1:38">
      <c r="A51" s="4"/>
      <c r="C51" s="2"/>
      <c r="D51" s="4"/>
      <c r="E51" s="4"/>
      <c r="F51" s="1272"/>
      <c r="G51" s="1272"/>
      <c r="H51" s="1272"/>
      <c r="I51" s="1272"/>
      <c r="J51" s="1272"/>
      <c r="K51" s="1272"/>
      <c r="L51" s="1272"/>
      <c r="M51" s="1272"/>
      <c r="N51" s="1272"/>
      <c r="O51" s="1272"/>
      <c r="P51" s="1272"/>
      <c r="Q51" s="1272"/>
      <c r="R51" s="1272"/>
      <c r="S51" s="1272"/>
      <c r="T51" s="1272"/>
      <c r="U51" s="1272"/>
      <c r="V51" s="1272"/>
      <c r="W51" s="1272"/>
      <c r="X51" s="1272"/>
      <c r="Y51" s="1272"/>
      <c r="Z51" s="1272"/>
      <c r="AA51" s="1272"/>
      <c r="AB51" s="1272"/>
      <c r="AC51" s="1272"/>
      <c r="AD51" s="1272"/>
      <c r="AE51" s="1272"/>
      <c r="AF51" s="1272"/>
      <c r="AG51" s="1272"/>
      <c r="AH51" s="1272"/>
      <c r="AI51" s="1272"/>
      <c r="AJ51" s="1272"/>
      <c r="AK51" s="1272"/>
    </row>
    <row r="52" spans="1:38">
      <c r="A52" s="4"/>
      <c r="C52" s="2"/>
      <c r="D52" s="4"/>
      <c r="F52" s="1272"/>
      <c r="G52" s="1272"/>
      <c r="H52" s="1272"/>
      <c r="I52" s="1272"/>
      <c r="J52" s="1272"/>
      <c r="K52" s="1272"/>
      <c r="L52" s="1272"/>
      <c r="M52" s="1272"/>
      <c r="N52" s="1272"/>
      <c r="O52" s="1272"/>
      <c r="P52" s="1272"/>
      <c r="Q52" s="1272"/>
      <c r="R52" s="1272"/>
      <c r="S52" s="1272"/>
      <c r="T52" s="1272"/>
      <c r="U52" s="1272"/>
      <c r="V52" s="1272"/>
      <c r="W52" s="1272"/>
      <c r="X52" s="1272"/>
      <c r="Y52" s="1272"/>
      <c r="Z52" s="1272"/>
      <c r="AA52" s="1272"/>
      <c r="AB52" s="1272"/>
      <c r="AC52" s="1272"/>
      <c r="AD52" s="1272"/>
      <c r="AE52" s="1272"/>
      <c r="AF52" s="1272"/>
      <c r="AG52" s="1272"/>
      <c r="AH52" s="1272"/>
      <c r="AI52" s="1272"/>
      <c r="AJ52" s="1272"/>
      <c r="AK52" s="1272"/>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697</v>
      </c>
      <c r="G56" s="1277" t="s">
        <v>1298</v>
      </c>
      <c r="H56" s="1277"/>
      <c r="I56" s="1277"/>
      <c r="J56" s="1277"/>
      <c r="K56" s="1277"/>
      <c r="L56" s="1277"/>
      <c r="M56" s="1277"/>
      <c r="N56" s="1277"/>
      <c r="O56" s="1277"/>
      <c r="P56" s="1277"/>
      <c r="Q56" s="1277"/>
      <c r="R56" s="1277"/>
      <c r="S56" s="1277"/>
      <c r="T56" s="1277"/>
      <c r="U56" s="1277"/>
      <c r="V56" s="1277"/>
      <c r="W56" s="1277"/>
      <c r="X56" s="1277"/>
      <c r="Y56" s="1277"/>
      <c r="Z56" s="1277"/>
      <c r="AA56" s="1277"/>
      <c r="AB56" s="1277"/>
      <c r="AC56" s="1277"/>
      <c r="AD56" s="1277"/>
      <c r="AE56" s="1277"/>
      <c r="AF56" s="1277"/>
      <c r="AG56" s="1277"/>
      <c r="AH56" s="1277"/>
      <c r="AI56" s="1277"/>
      <c r="AJ56" s="1277"/>
      <c r="AK56" s="1277"/>
      <c r="AL56" s="218"/>
    </row>
    <row r="57" spans="1:38" ht="13.15"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77" t="s">
        <v>584</v>
      </c>
      <c r="H58" s="1277"/>
      <c r="I58" s="1277"/>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518</v>
      </c>
      <c r="G59" s="1277" t="s">
        <v>2355</v>
      </c>
      <c r="H59" s="1277"/>
      <c r="I59" s="1277"/>
      <c r="J59" s="1277"/>
      <c r="K59" s="1277"/>
      <c r="L59" s="1277"/>
      <c r="M59" s="1277"/>
      <c r="N59" s="1277"/>
      <c r="O59" s="1277"/>
      <c r="P59" s="1277"/>
      <c r="Q59" s="1277"/>
      <c r="R59" s="1277"/>
      <c r="S59" s="1277"/>
      <c r="T59" s="1277"/>
      <c r="U59" s="1277"/>
      <c r="V59" s="1277"/>
      <c r="W59" s="1277"/>
      <c r="X59" s="1277"/>
      <c r="Y59" s="1277"/>
      <c r="Z59" s="1277"/>
      <c r="AA59" s="1277"/>
      <c r="AB59" s="1277"/>
      <c r="AC59" s="1277"/>
      <c r="AD59" s="1277"/>
      <c r="AE59" s="1277"/>
      <c r="AF59" s="1277"/>
      <c r="AG59" s="1277"/>
      <c r="AH59" s="1277"/>
      <c r="AI59" s="1277"/>
      <c r="AJ59" s="1277"/>
      <c r="AK59" s="1277"/>
      <c r="AL59" s="1277"/>
    </row>
    <row r="60" spans="1:38">
      <c r="A60" s="218"/>
      <c r="B60" s="218"/>
      <c r="C60" s="219"/>
      <c r="D60" s="219"/>
      <c r="E60" s="218"/>
      <c r="F60" s="220"/>
      <c r="G60" s="1277"/>
      <c r="H60" s="1277"/>
      <c r="I60" s="1277"/>
      <c r="J60" s="1277"/>
      <c r="K60" s="1277"/>
      <c r="L60" s="1277"/>
      <c r="M60" s="1277"/>
      <c r="N60" s="1277"/>
      <c r="O60" s="1277"/>
      <c r="P60" s="1277"/>
      <c r="Q60" s="1277"/>
      <c r="R60" s="1277"/>
      <c r="S60" s="1277"/>
      <c r="T60" s="1277"/>
      <c r="U60" s="1277"/>
      <c r="V60" s="1277"/>
      <c r="W60" s="1277"/>
      <c r="X60" s="1277"/>
      <c r="Y60" s="1277"/>
      <c r="Z60" s="1277"/>
      <c r="AA60" s="1277"/>
      <c r="AB60" s="1277"/>
      <c r="AC60" s="1277"/>
      <c r="AD60" s="1277"/>
      <c r="AE60" s="1277"/>
      <c r="AF60" s="1277"/>
      <c r="AG60" s="1277"/>
      <c r="AH60" s="1277"/>
      <c r="AI60" s="1277"/>
      <c r="AJ60" s="1277"/>
      <c r="AK60" s="1277"/>
      <c r="AL60" s="1277"/>
    </row>
    <row r="61" spans="1:38">
      <c r="A61" s="218"/>
      <c r="B61" s="218"/>
      <c r="C61" s="219"/>
      <c r="D61" s="219"/>
      <c r="E61" s="218"/>
      <c r="F61" s="220"/>
      <c r="G61" s="513" t="s">
        <v>1389</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72" t="s">
        <v>1273</v>
      </c>
      <c r="H66" s="1272"/>
      <c r="I66" s="1272"/>
      <c r="J66" s="1272"/>
      <c r="K66" s="1272"/>
      <c r="L66" s="1272"/>
      <c r="M66" s="1272"/>
      <c r="N66" s="1272"/>
      <c r="O66" s="1272"/>
      <c r="P66" s="1272"/>
      <c r="Q66" s="1272"/>
      <c r="R66" s="1272"/>
      <c r="S66" s="1272"/>
      <c r="T66" s="1272"/>
      <c r="U66" s="1272"/>
      <c r="V66" s="1272"/>
      <c r="W66" s="1272"/>
      <c r="X66" s="1272"/>
      <c r="Y66" s="1272"/>
      <c r="Z66" s="1272"/>
      <c r="AA66" s="1272"/>
      <c r="AB66" s="1272"/>
      <c r="AC66" s="1272"/>
      <c r="AD66" s="1272"/>
      <c r="AE66" s="1272"/>
      <c r="AF66" s="1272"/>
      <c r="AG66" s="1272"/>
      <c r="AH66" s="1272"/>
      <c r="AI66" s="1272"/>
      <c r="AJ66" s="1272"/>
      <c r="AK66" s="1272"/>
    </row>
    <row r="67" spans="1:37">
      <c r="A67" s="4"/>
      <c r="C67" s="2"/>
      <c r="D67" s="4"/>
      <c r="E67" s="4"/>
      <c r="G67" s="1272"/>
      <c r="H67" s="1272"/>
      <c r="I67" s="1272"/>
      <c r="J67" s="1272"/>
      <c r="K67" s="1272"/>
      <c r="L67" s="1272"/>
      <c r="M67" s="1272"/>
      <c r="N67" s="1272"/>
      <c r="O67" s="1272"/>
      <c r="P67" s="1272"/>
      <c r="Q67" s="1272"/>
      <c r="R67" s="1272"/>
      <c r="S67" s="1272"/>
      <c r="T67" s="1272"/>
      <c r="U67" s="1272"/>
      <c r="V67" s="1272"/>
      <c r="W67" s="1272"/>
      <c r="X67" s="1272"/>
      <c r="Y67" s="1272"/>
      <c r="Z67" s="1272"/>
      <c r="AA67" s="1272"/>
      <c r="AB67" s="1272"/>
      <c r="AC67" s="1272"/>
      <c r="AD67" s="1272"/>
      <c r="AE67" s="1272"/>
      <c r="AF67" s="1272"/>
      <c r="AG67" s="1272"/>
      <c r="AH67" s="1272"/>
      <c r="AI67" s="1272"/>
      <c r="AJ67" s="1272"/>
      <c r="AK67" s="1272"/>
    </row>
    <row r="68" spans="1:37">
      <c r="A68" s="4"/>
      <c r="C68" s="2"/>
      <c r="D68" s="4"/>
      <c r="E68" s="4"/>
      <c r="G68" s="1272"/>
      <c r="H68" s="1272"/>
      <c r="I68" s="1272"/>
      <c r="J68" s="1272"/>
      <c r="K68" s="1272"/>
      <c r="L68" s="1272"/>
      <c r="M68" s="1272"/>
      <c r="N68" s="1272"/>
      <c r="O68" s="1272"/>
      <c r="P68" s="1272"/>
      <c r="Q68" s="1272"/>
      <c r="R68" s="1272"/>
      <c r="S68" s="1272"/>
      <c r="T68" s="1272"/>
      <c r="U68" s="1272"/>
      <c r="V68" s="1272"/>
      <c r="W68" s="1272"/>
      <c r="X68" s="1272"/>
      <c r="Y68" s="1272"/>
      <c r="Z68" s="1272"/>
      <c r="AA68" s="1272"/>
      <c r="AB68" s="1272"/>
      <c r="AC68" s="1272"/>
      <c r="AD68" s="1272"/>
      <c r="AE68" s="1272"/>
      <c r="AF68" s="1272"/>
      <c r="AG68" s="1272"/>
      <c r="AH68" s="1272"/>
      <c r="AI68" s="1272"/>
      <c r="AJ68" s="1272"/>
      <c r="AK68" s="1272"/>
    </row>
    <row r="69" spans="1:37" ht="13.15" customHeight="1">
      <c r="A69" s="4"/>
      <c r="C69" s="2"/>
      <c r="D69" s="4"/>
      <c r="E69" s="4"/>
      <c r="F69" t="s">
        <v>518</v>
      </c>
      <c r="G69" s="1272" t="s">
        <v>1274</v>
      </c>
      <c r="H69" s="1272"/>
      <c r="I69" s="1272"/>
      <c r="J69" s="1272"/>
      <c r="K69" s="1272"/>
      <c r="L69" s="1272"/>
      <c r="M69" s="1272"/>
      <c r="N69" s="1272"/>
      <c r="O69" s="1272"/>
      <c r="P69" s="1272"/>
      <c r="Q69" s="1272"/>
      <c r="R69" s="1272"/>
      <c r="S69" s="1272"/>
      <c r="T69" s="1272"/>
      <c r="U69" s="1272"/>
      <c r="V69" s="1272"/>
      <c r="W69" s="1272"/>
      <c r="X69" s="1272"/>
      <c r="Y69" s="1272"/>
      <c r="Z69" s="1272"/>
      <c r="AA69" s="1272"/>
      <c r="AB69" s="1272"/>
      <c r="AC69" s="1272"/>
      <c r="AD69" s="1272"/>
      <c r="AE69" s="1272"/>
      <c r="AF69" s="1272"/>
      <c r="AG69" s="1272"/>
      <c r="AH69" s="1272"/>
      <c r="AI69" s="1272"/>
      <c r="AJ69" s="1272"/>
      <c r="AK69" s="1272"/>
    </row>
    <row r="70" spans="1:37">
      <c r="A70" s="4"/>
      <c r="C70" s="2"/>
      <c r="D70" s="4"/>
      <c r="E70" s="4"/>
      <c r="F70" s="27"/>
      <c r="G70" s="1272"/>
      <c r="H70" s="1272"/>
      <c r="I70" s="1272"/>
      <c r="J70" s="1272"/>
      <c r="K70" s="1272"/>
      <c r="L70" s="1272"/>
      <c r="M70" s="1272"/>
      <c r="N70" s="1272"/>
      <c r="O70" s="1272"/>
      <c r="P70" s="1272"/>
      <c r="Q70" s="1272"/>
      <c r="R70" s="1272"/>
      <c r="S70" s="1272"/>
      <c r="T70" s="1272"/>
      <c r="U70" s="1272"/>
      <c r="V70" s="1272"/>
      <c r="W70" s="1272"/>
      <c r="X70" s="1272"/>
      <c r="Y70" s="1272"/>
      <c r="Z70" s="1272"/>
      <c r="AA70" s="1272"/>
      <c r="AB70" s="1272"/>
      <c r="AC70" s="1272"/>
      <c r="AD70" s="1272"/>
      <c r="AE70" s="1272"/>
      <c r="AF70" s="1272"/>
      <c r="AG70" s="1272"/>
      <c r="AH70" s="1272"/>
      <c r="AI70" s="1272"/>
      <c r="AJ70" s="1272"/>
      <c r="AK70" s="1272"/>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697</v>
      </c>
      <c r="G72" s="1272" t="s">
        <v>1275</v>
      </c>
      <c r="H72" s="1272"/>
      <c r="I72" s="1272"/>
      <c r="J72" s="1272"/>
      <c r="K72" s="1272"/>
      <c r="L72" s="1272"/>
      <c r="M72" s="1272"/>
      <c r="N72" s="1272"/>
      <c r="O72" s="1272"/>
      <c r="P72" s="1272"/>
      <c r="Q72" s="1272"/>
      <c r="R72" s="1272"/>
      <c r="S72" s="1272"/>
      <c r="T72" s="1272"/>
      <c r="U72" s="1272"/>
      <c r="V72" s="1272"/>
      <c r="W72" s="1272"/>
      <c r="X72" s="1272"/>
      <c r="Y72" s="1272"/>
      <c r="Z72" s="1272"/>
      <c r="AA72" s="1272"/>
      <c r="AB72" s="1272"/>
      <c r="AC72" s="1272"/>
      <c r="AD72" s="1272"/>
      <c r="AE72" s="1272"/>
      <c r="AF72" s="1272"/>
      <c r="AG72" s="1272"/>
      <c r="AH72" s="1272"/>
      <c r="AI72" s="1272"/>
      <c r="AJ72" s="1272"/>
      <c r="AK72" s="1272"/>
    </row>
    <row r="73" spans="1:37">
      <c r="A73" s="4"/>
      <c r="C73" s="2"/>
      <c r="D73" s="4"/>
      <c r="E73" s="4"/>
      <c r="F73" s="8"/>
      <c r="G73" s="1272"/>
      <c r="H73" s="1272"/>
      <c r="I73" s="1272"/>
      <c r="J73" s="1272"/>
      <c r="K73" s="1272"/>
      <c r="L73" s="1272"/>
      <c r="M73" s="1272"/>
      <c r="N73" s="1272"/>
      <c r="O73" s="1272"/>
      <c r="P73" s="1272"/>
      <c r="Q73" s="1272"/>
      <c r="R73" s="1272"/>
      <c r="S73" s="1272"/>
      <c r="T73" s="1272"/>
      <c r="U73" s="1272"/>
      <c r="V73" s="1272"/>
      <c r="W73" s="1272"/>
      <c r="X73" s="1272"/>
      <c r="Y73" s="1272"/>
      <c r="Z73" s="1272"/>
      <c r="AA73" s="1272"/>
      <c r="AB73" s="1272"/>
      <c r="AC73" s="1272"/>
      <c r="AD73" s="1272"/>
      <c r="AE73" s="1272"/>
      <c r="AF73" s="1272"/>
      <c r="AG73" s="1272"/>
      <c r="AH73" s="1272"/>
      <c r="AI73" s="1272"/>
      <c r="AJ73" s="1272"/>
      <c r="AK73" s="1272"/>
    </row>
    <row r="74" spans="1:37">
      <c r="A74" s="4"/>
      <c r="C74" s="2"/>
      <c r="D74" s="4"/>
      <c r="E74" s="4"/>
      <c r="F74" s="8" t="s">
        <v>518</v>
      </c>
      <c r="G74" s="1272" t="s">
        <v>1276</v>
      </c>
      <c r="H74" s="1272"/>
      <c r="I74" s="1272"/>
      <c r="J74" s="1272"/>
      <c r="K74" s="1272"/>
      <c r="L74" s="1272"/>
      <c r="M74" s="1272"/>
      <c r="N74" s="1272"/>
      <c r="O74" s="1272"/>
      <c r="P74" s="1272"/>
      <c r="Q74" s="1272"/>
      <c r="R74" s="1272"/>
      <c r="S74" s="1272"/>
      <c r="T74" s="1272"/>
      <c r="U74" s="1272"/>
      <c r="V74" s="1272"/>
      <c r="W74" s="1272"/>
      <c r="X74" s="1272"/>
      <c r="Y74" s="1272"/>
      <c r="Z74" s="1272"/>
      <c r="AA74" s="1272"/>
      <c r="AB74" s="1272"/>
      <c r="AC74" s="1272"/>
      <c r="AD74" s="1272"/>
      <c r="AE74" s="1272"/>
      <c r="AF74" s="1272"/>
      <c r="AG74" s="1272"/>
      <c r="AH74" s="1272"/>
      <c r="AI74" s="1272"/>
      <c r="AJ74" s="1272"/>
      <c r="AK74" s="1272"/>
    </row>
    <row r="75" spans="1:37">
      <c r="A75" s="4"/>
      <c r="C75" s="2"/>
      <c r="D75" s="4"/>
      <c r="E75" s="4"/>
      <c r="F75" s="8"/>
      <c r="G75" s="1272"/>
      <c r="H75" s="1272"/>
      <c r="I75" s="1272"/>
      <c r="J75" s="1272"/>
      <c r="K75" s="1272"/>
      <c r="L75" s="1272"/>
      <c r="M75" s="1272"/>
      <c r="N75" s="1272"/>
      <c r="O75" s="1272"/>
      <c r="P75" s="1272"/>
      <c r="Q75" s="1272"/>
      <c r="R75" s="1272"/>
      <c r="S75" s="1272"/>
      <c r="T75" s="1272"/>
      <c r="U75" s="1272"/>
      <c r="V75" s="1272"/>
      <c r="W75" s="1272"/>
      <c r="X75" s="1272"/>
      <c r="Y75" s="1272"/>
      <c r="Z75" s="1272"/>
      <c r="AA75" s="1272"/>
      <c r="AB75" s="1272"/>
      <c r="AC75" s="1272"/>
      <c r="AD75" s="1272"/>
      <c r="AE75" s="1272"/>
      <c r="AF75" s="1272"/>
      <c r="AG75" s="1272"/>
      <c r="AH75" s="1272"/>
      <c r="AI75" s="1272"/>
      <c r="AJ75" s="1272"/>
      <c r="AK75" s="1272"/>
    </row>
    <row r="76" spans="1:37">
      <c r="A76" s="4"/>
      <c r="C76" s="2"/>
      <c r="D76" s="4"/>
      <c r="E76" s="4"/>
      <c r="F76" s="8"/>
      <c r="G76" s="120" t="s">
        <v>760</v>
      </c>
      <c r="H76" s="4"/>
      <c r="J76" s="120"/>
      <c r="K76" s="120"/>
      <c r="L76" s="120"/>
      <c r="P76" s="4"/>
      <c r="Q76" s="4"/>
      <c r="R76" s="4"/>
      <c r="S76" s="4"/>
      <c r="T76" s="4"/>
      <c r="U76" s="4"/>
      <c r="V76" s="4"/>
      <c r="W76" s="4"/>
      <c r="X76" s="4"/>
      <c r="Y76" s="4"/>
      <c r="Z76" s="4"/>
      <c r="AA76" s="4"/>
      <c r="AB76" s="4"/>
    </row>
    <row r="77" spans="1:37">
      <c r="A77" s="4"/>
      <c r="C77" s="2"/>
      <c r="D77" s="4"/>
      <c r="E77" s="4"/>
      <c r="F77" s="8"/>
      <c r="G77" s="120" t="s">
        <v>876</v>
      </c>
      <c r="J77" s="120"/>
      <c r="K77" s="120"/>
      <c r="L77" s="120"/>
      <c r="P77" s="4"/>
      <c r="Q77" s="4"/>
      <c r="R77" s="4"/>
      <c r="S77" s="4"/>
      <c r="T77" s="4"/>
      <c r="U77" s="4"/>
      <c r="V77" s="4"/>
      <c r="W77" s="4"/>
      <c r="X77" s="4"/>
      <c r="Y77" s="4"/>
      <c r="Z77" s="4"/>
      <c r="AA77" s="4"/>
      <c r="AB77" s="4"/>
    </row>
    <row r="78" spans="1:37">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877</v>
      </c>
      <c r="K79" s="4"/>
      <c r="L79" s="4"/>
      <c r="M79" s="4"/>
      <c r="P79" s="4"/>
      <c r="Q79" s="4"/>
      <c r="R79" s="4"/>
      <c r="S79" s="4"/>
      <c r="T79" s="4"/>
      <c r="U79" s="4"/>
      <c r="V79" s="4"/>
      <c r="W79" s="4"/>
      <c r="X79" s="4"/>
      <c r="Y79" s="4"/>
      <c r="Z79" s="4"/>
      <c r="AA79" s="4"/>
      <c r="AB79" s="4"/>
    </row>
    <row r="80" spans="1:37">
      <c r="A80" s="4"/>
      <c r="C80" s="2"/>
      <c r="D80" s="4"/>
      <c r="E80" s="4"/>
      <c r="F80" s="4"/>
      <c r="G80" s="4" t="s">
        <v>767</v>
      </c>
      <c r="H80" s="4" t="s">
        <v>763</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72" t="s">
        <v>1277</v>
      </c>
      <c r="H82" s="1272"/>
      <c r="I82" s="1272"/>
      <c r="J82" s="1272"/>
      <c r="K82" s="1272"/>
      <c r="L82" s="1272"/>
      <c r="M82" s="1272"/>
      <c r="N82" s="1272"/>
      <c r="O82" s="1272"/>
      <c r="P82" s="1272"/>
      <c r="Q82" s="1272"/>
      <c r="R82" s="1272"/>
      <c r="S82" s="1272"/>
      <c r="T82" s="1272"/>
      <c r="U82" s="1272"/>
      <c r="V82" s="1272"/>
      <c r="W82" s="1272"/>
      <c r="X82" s="1272"/>
      <c r="Y82" s="1272"/>
      <c r="Z82" s="1272"/>
      <c r="AA82" s="1272"/>
      <c r="AB82" s="1272"/>
      <c r="AC82" s="1272"/>
      <c r="AD82" s="1272"/>
      <c r="AE82" s="1272"/>
      <c r="AF82" s="1272"/>
      <c r="AG82" s="1272"/>
      <c r="AH82" s="1272"/>
      <c r="AI82" s="1272"/>
      <c r="AJ82" s="1272"/>
      <c r="AK82" s="1272"/>
    </row>
    <row r="83" spans="1:37">
      <c r="A83" s="4"/>
      <c r="C83" s="2"/>
      <c r="D83" s="4"/>
      <c r="E83" s="4"/>
      <c r="F83" s="4"/>
      <c r="G83" s="1272"/>
      <c r="H83" s="1272"/>
      <c r="I83" s="1272"/>
      <c r="J83" s="1272"/>
      <c r="K83" s="1272"/>
      <c r="L83" s="1272"/>
      <c r="M83" s="1272"/>
      <c r="N83" s="1272"/>
      <c r="O83" s="1272"/>
      <c r="P83" s="1272"/>
      <c r="Q83" s="1272"/>
      <c r="R83" s="1272"/>
      <c r="S83" s="1272"/>
      <c r="T83" s="1272"/>
      <c r="U83" s="1272"/>
      <c r="V83" s="1272"/>
      <c r="W83" s="1272"/>
      <c r="X83" s="1272"/>
      <c r="Y83" s="1272"/>
      <c r="Z83" s="1272"/>
      <c r="AA83" s="1272"/>
      <c r="AB83" s="1272"/>
      <c r="AC83" s="1272"/>
      <c r="AD83" s="1272"/>
      <c r="AE83" s="1272"/>
      <c r="AF83" s="1272"/>
      <c r="AG83" s="1272"/>
      <c r="AH83" s="1272"/>
      <c r="AI83" s="1272"/>
      <c r="AJ83" s="1272"/>
      <c r="AK83" s="1272"/>
    </row>
    <row r="84" spans="1:37">
      <c r="A84" s="4"/>
      <c r="C84" s="2"/>
      <c r="D84" s="4"/>
      <c r="E84" s="4"/>
      <c r="F84" s="4"/>
      <c r="G84" s="1272"/>
      <c r="H84" s="1272"/>
      <c r="I84" s="1272"/>
      <c r="J84" s="1272"/>
      <c r="K84" s="1272"/>
      <c r="L84" s="1272"/>
      <c r="M84" s="1272"/>
      <c r="N84" s="1272"/>
      <c r="O84" s="1272"/>
      <c r="P84" s="1272"/>
      <c r="Q84" s="1272"/>
      <c r="R84" s="1272"/>
      <c r="S84" s="1272"/>
      <c r="T84" s="1272"/>
      <c r="U84" s="1272"/>
      <c r="V84" s="1272"/>
      <c r="W84" s="1272"/>
      <c r="X84" s="1272"/>
      <c r="Y84" s="1272"/>
      <c r="Z84" s="1272"/>
      <c r="AA84" s="1272"/>
      <c r="AB84" s="1272"/>
      <c r="AC84" s="1272"/>
      <c r="AD84" s="1272"/>
      <c r="AE84" s="1272"/>
      <c r="AF84" s="1272"/>
      <c r="AG84" s="1272"/>
      <c r="AH84" s="1272"/>
      <c r="AI84" s="1272"/>
      <c r="AJ84" s="1272"/>
      <c r="AK84" s="1272"/>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72" t="s">
        <v>1278</v>
      </c>
      <c r="H86" s="1272"/>
      <c r="I86" s="1272"/>
      <c r="J86" s="1272"/>
      <c r="K86" s="1272"/>
      <c r="L86" s="1272"/>
      <c r="M86" s="1272"/>
      <c r="N86" s="1272"/>
      <c r="O86" s="1272"/>
      <c r="P86" s="1272"/>
      <c r="Q86" s="1272"/>
      <c r="R86" s="1272"/>
      <c r="S86" s="1272"/>
      <c r="T86" s="1272"/>
      <c r="U86" s="1272"/>
      <c r="V86" s="1272"/>
      <c r="W86" s="1272"/>
      <c r="X86" s="1272"/>
      <c r="Y86" s="1272"/>
      <c r="Z86" s="1272"/>
      <c r="AA86" s="1272"/>
      <c r="AB86" s="1272"/>
      <c r="AC86" s="1272"/>
      <c r="AD86" s="1272"/>
      <c r="AE86" s="1272"/>
      <c r="AF86" s="1272"/>
      <c r="AG86" s="1272"/>
      <c r="AH86" s="1272"/>
      <c r="AI86" s="1272"/>
      <c r="AJ86" s="1272"/>
      <c r="AK86" s="1272"/>
    </row>
    <row r="87" spans="1:37">
      <c r="A87" s="4"/>
      <c r="C87" s="2"/>
      <c r="D87" s="4"/>
      <c r="E87" s="4"/>
      <c r="F87" s="4"/>
      <c r="G87" s="1272"/>
      <c r="H87" s="1272"/>
      <c r="I87" s="1272"/>
      <c r="J87" s="1272"/>
      <c r="K87" s="1272"/>
      <c r="L87" s="1272"/>
      <c r="M87" s="1272"/>
      <c r="N87" s="1272"/>
      <c r="O87" s="1272"/>
      <c r="P87" s="1272"/>
      <c r="Q87" s="1272"/>
      <c r="R87" s="1272"/>
      <c r="S87" s="1272"/>
      <c r="T87" s="1272"/>
      <c r="U87" s="1272"/>
      <c r="V87" s="1272"/>
      <c r="W87" s="1272"/>
      <c r="X87" s="1272"/>
      <c r="Y87" s="1272"/>
      <c r="Z87" s="1272"/>
      <c r="AA87" s="1272"/>
      <c r="AB87" s="1272"/>
      <c r="AC87" s="1272"/>
      <c r="AD87" s="1272"/>
      <c r="AE87" s="1272"/>
      <c r="AF87" s="1272"/>
      <c r="AG87" s="1272"/>
      <c r="AH87" s="1272"/>
      <c r="AI87" s="1272"/>
      <c r="AJ87" s="1272"/>
      <c r="AK87" s="1272"/>
    </row>
    <row r="88" spans="1:37">
      <c r="A88" s="4"/>
      <c r="C88" s="2"/>
      <c r="D88" s="4"/>
      <c r="E88" s="4"/>
      <c r="G88" s="1272"/>
      <c r="H88" s="1272"/>
      <c r="I88" s="1272"/>
      <c r="J88" s="1272"/>
      <c r="K88" s="1272"/>
      <c r="L88" s="1272"/>
      <c r="M88" s="1272"/>
      <c r="N88" s="1272"/>
      <c r="O88" s="1272"/>
      <c r="P88" s="1272"/>
      <c r="Q88" s="1272"/>
      <c r="R88" s="1272"/>
      <c r="S88" s="1272"/>
      <c r="T88" s="1272"/>
      <c r="U88" s="1272"/>
      <c r="V88" s="1272"/>
      <c r="W88" s="1272"/>
      <c r="X88" s="1272"/>
      <c r="Y88" s="1272"/>
      <c r="Z88" s="1272"/>
      <c r="AA88" s="1272"/>
      <c r="AB88" s="1272"/>
      <c r="AC88" s="1272"/>
      <c r="AD88" s="1272"/>
      <c r="AE88" s="1272"/>
      <c r="AF88" s="1272"/>
      <c r="AG88" s="1272"/>
      <c r="AH88" s="1272"/>
      <c r="AI88" s="1272"/>
      <c r="AJ88" s="1272"/>
      <c r="AK88" s="1272"/>
    </row>
    <row r="89" spans="1:37">
      <c r="A89" s="4"/>
      <c r="C89" s="2"/>
      <c r="D89" s="4"/>
      <c r="E89" s="4" t="s">
        <v>263</v>
      </c>
      <c r="F89" t="s">
        <v>878</v>
      </c>
      <c r="G89" s="4"/>
      <c r="L89" s="4"/>
      <c r="M89" s="4"/>
      <c r="P89" s="4"/>
      <c r="Q89" s="4"/>
      <c r="R89" s="4"/>
      <c r="S89" s="4"/>
      <c r="T89" s="4"/>
      <c r="U89" s="4"/>
      <c r="V89" s="4"/>
      <c r="W89" s="4"/>
      <c r="X89" s="4"/>
      <c r="Y89" s="4"/>
      <c r="Z89" s="4"/>
      <c r="AA89" s="4"/>
      <c r="AB89" s="4"/>
    </row>
    <row r="90" spans="1:37">
      <c r="A90" s="4"/>
      <c r="C90" s="2"/>
      <c r="D90" s="4"/>
      <c r="E90" s="4"/>
      <c r="G90" s="1275" t="s">
        <v>1279</v>
      </c>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c r="A91" s="4"/>
      <c r="C91" s="2"/>
      <c r="D91" s="4"/>
      <c r="E91" s="4"/>
      <c r="G91" s="1275"/>
      <c r="H91" s="1275"/>
      <c r="I91" s="1275"/>
      <c r="J91" s="1275"/>
      <c r="K91" s="1275"/>
      <c r="L91" s="1275"/>
      <c r="M91" s="1275"/>
      <c r="N91" s="1275"/>
      <c r="O91" s="1275"/>
      <c r="P91" s="1275"/>
      <c r="Q91" s="1275"/>
      <c r="R91" s="1275"/>
      <c r="S91" s="1275"/>
      <c r="T91" s="1275"/>
      <c r="U91" s="1275"/>
      <c r="V91" s="1275"/>
      <c r="W91" s="1275"/>
      <c r="X91" s="1275"/>
      <c r="Y91" s="1275"/>
      <c r="Z91" s="1275"/>
      <c r="AA91" s="1275"/>
      <c r="AB91" s="1275"/>
      <c r="AC91" s="1275"/>
      <c r="AD91" s="1275"/>
      <c r="AE91" s="1275"/>
      <c r="AF91" s="1275"/>
      <c r="AG91" s="1275"/>
      <c r="AH91" s="1275"/>
      <c r="AI91" s="1275"/>
      <c r="AJ91" s="1275"/>
      <c r="AK91" s="1275"/>
    </row>
    <row r="92" spans="1:37">
      <c r="A92" s="4"/>
      <c r="C92" s="2"/>
      <c r="D92" s="4"/>
      <c r="E92" s="4"/>
      <c r="G92" s="1275"/>
      <c r="H92" s="1275"/>
      <c r="I92" s="1275"/>
      <c r="J92" s="1275"/>
      <c r="K92" s="1275"/>
      <c r="L92" s="1275"/>
      <c r="M92" s="1275"/>
      <c r="N92" s="1275"/>
      <c r="O92" s="1275"/>
      <c r="P92" s="1275"/>
      <c r="Q92" s="1275"/>
      <c r="R92" s="1275"/>
      <c r="S92" s="1275"/>
      <c r="T92" s="1275"/>
      <c r="U92" s="1275"/>
      <c r="V92" s="1275"/>
      <c r="W92" s="1275"/>
      <c r="X92" s="1275"/>
      <c r="Y92" s="1275"/>
      <c r="Z92" s="1275"/>
      <c r="AA92" s="1275"/>
      <c r="AB92" s="1275"/>
      <c r="AC92" s="1275"/>
      <c r="AD92" s="1275"/>
      <c r="AE92" s="1275"/>
      <c r="AF92" s="1275"/>
      <c r="AG92" s="1275"/>
      <c r="AH92" s="1275"/>
      <c r="AI92" s="1275"/>
      <c r="AJ92" s="1275"/>
      <c r="AK92" s="1275"/>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72" t="s">
        <v>1280</v>
      </c>
      <c r="H94" s="1272"/>
      <c r="I94" s="1272"/>
      <c r="J94" s="1272"/>
      <c r="K94" s="1272"/>
      <c r="L94" s="1272"/>
      <c r="M94" s="1272"/>
      <c r="N94" s="1272"/>
      <c r="O94" s="1272"/>
      <c r="P94" s="1272"/>
      <c r="Q94" s="1272"/>
      <c r="R94" s="1272"/>
      <c r="S94" s="1272"/>
      <c r="T94" s="1272"/>
      <c r="U94" s="1272"/>
      <c r="V94" s="1272"/>
      <c r="W94" s="1272"/>
      <c r="X94" s="1272"/>
      <c r="Y94" s="1272"/>
      <c r="Z94" s="1272"/>
      <c r="AA94" s="1272"/>
      <c r="AB94" s="1272"/>
      <c r="AC94" s="1272"/>
      <c r="AD94" s="1272"/>
      <c r="AE94" s="1272"/>
      <c r="AF94" s="1272"/>
      <c r="AG94" s="1272"/>
      <c r="AH94" s="1272"/>
      <c r="AI94" s="1272"/>
      <c r="AJ94" s="1272"/>
      <c r="AK94" s="1272"/>
    </row>
    <row r="95" spans="1:37">
      <c r="A95" s="4"/>
      <c r="C95" s="2"/>
      <c r="D95" s="4"/>
      <c r="E95" s="4"/>
      <c r="G95" s="1272"/>
      <c r="H95" s="1272"/>
      <c r="I95" s="1272"/>
      <c r="J95" s="1272"/>
      <c r="K95" s="1272"/>
      <c r="L95" s="1272"/>
      <c r="M95" s="1272"/>
      <c r="N95" s="1272"/>
      <c r="O95" s="1272"/>
      <c r="P95" s="1272"/>
      <c r="Q95" s="1272"/>
      <c r="R95" s="1272"/>
      <c r="S95" s="1272"/>
      <c r="T95" s="1272"/>
      <c r="U95" s="1272"/>
      <c r="V95" s="1272"/>
      <c r="W95" s="1272"/>
      <c r="X95" s="1272"/>
      <c r="Y95" s="1272"/>
      <c r="Z95" s="1272"/>
      <c r="AA95" s="1272"/>
      <c r="AB95" s="1272"/>
      <c r="AC95" s="1272"/>
      <c r="AD95" s="1272"/>
      <c r="AE95" s="1272"/>
      <c r="AF95" s="1272"/>
      <c r="AG95" s="1272"/>
      <c r="AH95" s="1272"/>
      <c r="AI95" s="1272"/>
      <c r="AJ95" s="1272"/>
      <c r="AK95" s="1272"/>
    </row>
    <row r="96" spans="1:37">
      <c r="A96" s="4"/>
      <c r="C96" s="2"/>
      <c r="D96" s="4"/>
      <c r="E96" s="4" t="s">
        <v>920</v>
      </c>
      <c r="F96" s="218" t="s">
        <v>921</v>
      </c>
      <c r="G96" s="218"/>
      <c r="L96" s="4"/>
      <c r="M96" s="4"/>
      <c r="P96" s="4"/>
      <c r="Q96" s="4"/>
      <c r="R96" s="4"/>
      <c r="S96" s="4"/>
      <c r="T96" s="4"/>
      <c r="U96" s="4"/>
      <c r="V96" s="4"/>
      <c r="W96" s="4"/>
      <c r="X96" s="4"/>
      <c r="Y96" s="4"/>
      <c r="Z96" s="4"/>
      <c r="AA96" s="4"/>
      <c r="AB96" s="4"/>
    </row>
    <row r="97" spans="1:38">
      <c r="A97" s="4"/>
      <c r="C97" s="2"/>
      <c r="D97" s="4"/>
      <c r="E97" s="4"/>
      <c r="G97" s="1272" t="s">
        <v>1281</v>
      </c>
      <c r="H97" s="1272"/>
      <c r="I97" s="1272"/>
      <c r="J97" s="1272"/>
      <c r="K97" s="1272"/>
      <c r="L97" s="1272"/>
      <c r="M97" s="1272"/>
      <c r="N97" s="1272"/>
      <c r="O97" s="1272"/>
      <c r="P97" s="1272"/>
      <c r="Q97" s="1272"/>
      <c r="R97" s="1272"/>
      <c r="S97" s="1272"/>
      <c r="T97" s="1272"/>
      <c r="U97" s="1272"/>
      <c r="V97" s="1272"/>
      <c r="W97" s="1272"/>
      <c r="X97" s="1272"/>
      <c r="Y97" s="1272"/>
      <c r="Z97" s="1272"/>
      <c r="AA97" s="1272"/>
      <c r="AB97" s="1272"/>
      <c r="AC97" s="1272"/>
      <c r="AD97" s="1272"/>
      <c r="AE97" s="1272"/>
      <c r="AF97" s="1272"/>
      <c r="AG97" s="1272"/>
      <c r="AH97" s="1272"/>
      <c r="AI97" s="1272"/>
      <c r="AJ97" s="1272"/>
      <c r="AK97" s="1272"/>
    </row>
    <row r="98" spans="1:38">
      <c r="A98" s="4"/>
      <c r="C98" s="2"/>
      <c r="D98" s="4"/>
      <c r="E98" s="4"/>
      <c r="G98" s="1272"/>
      <c r="H98" s="1272"/>
      <c r="I98" s="1272"/>
      <c r="J98" s="1272"/>
      <c r="K98" s="1272"/>
      <c r="L98" s="1272"/>
      <c r="M98" s="1272"/>
      <c r="N98" s="1272"/>
      <c r="O98" s="1272"/>
      <c r="P98" s="1272"/>
      <c r="Q98" s="1272"/>
      <c r="R98" s="1272"/>
      <c r="S98" s="1272"/>
      <c r="T98" s="1272"/>
      <c r="U98" s="1272"/>
      <c r="V98" s="1272"/>
      <c r="W98" s="1272"/>
      <c r="X98" s="1272"/>
      <c r="Y98" s="1272"/>
      <c r="Z98" s="1272"/>
      <c r="AA98" s="1272"/>
      <c r="AB98" s="1272"/>
      <c r="AC98" s="1272"/>
      <c r="AD98" s="1272"/>
      <c r="AE98" s="1272"/>
      <c r="AF98" s="1272"/>
      <c r="AG98" s="1272"/>
      <c r="AH98" s="1272"/>
      <c r="AI98" s="1272"/>
      <c r="AJ98" s="1272"/>
      <c r="AK98" s="1272"/>
    </row>
    <row r="99" spans="1:38">
      <c r="A99" s="4"/>
      <c r="C99" s="2"/>
      <c r="D99" s="4"/>
      <c r="E99" s="4"/>
      <c r="G99" s="1272"/>
      <c r="H99" s="1272"/>
      <c r="I99" s="1272"/>
      <c r="J99" s="1272"/>
      <c r="K99" s="1272"/>
      <c r="L99" s="1272"/>
      <c r="M99" s="1272"/>
      <c r="N99" s="1272"/>
      <c r="O99" s="1272"/>
      <c r="P99" s="1272"/>
      <c r="Q99" s="1272"/>
      <c r="R99" s="1272"/>
      <c r="S99" s="1272"/>
      <c r="T99" s="1272"/>
      <c r="U99" s="1272"/>
      <c r="V99" s="1272"/>
      <c r="W99" s="1272"/>
      <c r="X99" s="1272"/>
      <c r="Y99" s="1272"/>
      <c r="Z99" s="1272"/>
      <c r="AA99" s="1272"/>
      <c r="AB99" s="1272"/>
      <c r="AC99" s="1272"/>
      <c r="AD99" s="1272"/>
      <c r="AE99" s="1272"/>
      <c r="AF99" s="1272"/>
      <c r="AG99" s="1272"/>
      <c r="AH99" s="1272"/>
      <c r="AI99" s="1272"/>
      <c r="AJ99" s="1272"/>
      <c r="AK99" s="1272"/>
    </row>
    <row r="100" spans="1:38">
      <c r="A100" s="4"/>
      <c r="D100" s="99"/>
      <c r="E100" s="1276" t="s">
        <v>1282</v>
      </c>
      <c r="F100" s="1276"/>
      <c r="G100" s="1276"/>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1276"/>
      <c r="AH100" s="1276"/>
      <c r="AI100" s="1276"/>
      <c r="AJ100" s="1276"/>
      <c r="AK100" s="1276"/>
    </row>
    <row r="101" spans="1:38">
      <c r="A101" s="4"/>
      <c r="D101" s="99"/>
      <c r="E101" s="1276"/>
      <c r="F101" s="1276"/>
      <c r="G101" s="1276"/>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1276"/>
      <c r="AH101" s="1276"/>
      <c r="AI101" s="1276"/>
      <c r="AJ101" s="1276"/>
      <c r="AK101" s="1276"/>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1293</v>
      </c>
      <c r="H105" s="2"/>
      <c r="I105" s="2"/>
      <c r="K105" s="2"/>
    </row>
    <row r="106" spans="1:38">
      <c r="B106" s="2"/>
      <c r="C106" s="2"/>
      <c r="D106" s="2" t="s">
        <v>208</v>
      </c>
      <c r="E106" s="2" t="s">
        <v>1295</v>
      </c>
      <c r="F106" s="2"/>
      <c r="G106" s="2"/>
      <c r="H106" s="2"/>
      <c r="I106" s="2"/>
      <c r="J106" s="2"/>
      <c r="K106" s="2"/>
      <c r="L106" s="2"/>
      <c r="M106" s="2"/>
    </row>
    <row r="107" spans="1:38">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c r="E111" s="4" t="s">
        <v>113</v>
      </c>
      <c r="F111" s="98" t="s">
        <v>665</v>
      </c>
      <c r="G111" s="2"/>
      <c r="H111" s="2"/>
      <c r="I111" s="2"/>
      <c r="J111" s="2"/>
    </row>
    <row r="112" spans="1:38">
      <c r="E112" s="4"/>
      <c r="F112" t="s">
        <v>666</v>
      </c>
    </row>
    <row r="113" spans="2:16">
      <c r="E113" s="4"/>
    </row>
    <row r="114" spans="2:16">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c r="F119" s="4" t="s">
        <v>1040</v>
      </c>
      <c r="G119" s="4"/>
    </row>
    <row r="120" spans="2:16">
      <c r="F120" s="99" t="s">
        <v>1294</v>
      </c>
      <c r="G120" s="99"/>
    </row>
    <row r="121" spans="2:16">
      <c r="G121" s="99"/>
    </row>
    <row r="122" spans="2:16">
      <c r="E122" s="4" t="s">
        <v>773</v>
      </c>
      <c r="F122" s="98" t="s">
        <v>379</v>
      </c>
    </row>
    <row r="123" spans="2:16">
      <c r="E123" s="4"/>
      <c r="F123" s="4" t="s">
        <v>1032</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943</v>
      </c>
      <c r="F127" s="4"/>
    </row>
    <row r="128" spans="2:16"/>
    <row r="129" spans="4:37">
      <c r="D129" s="2" t="s">
        <v>342</v>
      </c>
      <c r="E129" s="2" t="s">
        <v>586</v>
      </c>
    </row>
    <row r="130" spans="4:37">
      <c r="E130" s="4" t="s">
        <v>943</v>
      </c>
      <c r="F130" s="4"/>
    </row>
    <row r="131" spans="4:37"/>
    <row r="132" spans="4:37">
      <c r="D132" s="2" t="s">
        <v>583</v>
      </c>
      <c r="E132" s="2" t="s">
        <v>734</v>
      </c>
      <c r="G132" s="2"/>
      <c r="H132" s="2"/>
      <c r="I132" s="2"/>
      <c r="J132" s="2"/>
      <c r="K132" s="2"/>
      <c r="L132" s="2"/>
      <c r="M132" s="2"/>
      <c r="N132" s="2"/>
    </row>
    <row r="133" spans="4:37">
      <c r="D133" s="2"/>
      <c r="E133" s="119" t="s">
        <v>1367</v>
      </c>
      <c r="G133" s="2"/>
      <c r="H133" s="2"/>
      <c r="I133" s="2"/>
      <c r="J133" s="2"/>
      <c r="K133" s="2"/>
      <c r="L133" s="2"/>
      <c r="M133" s="2"/>
      <c r="N133" s="2"/>
    </row>
    <row r="134" spans="4:37" ht="12.75" customHeight="1">
      <c r="E134" s="119" t="s">
        <v>1365</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1366</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523</v>
      </c>
      <c r="E137" s="2" t="s">
        <v>526</v>
      </c>
      <c r="F137" s="2"/>
    </row>
    <row r="138" spans="4:37">
      <c r="E138" s="3" t="s">
        <v>1320</v>
      </c>
      <c r="F138" s="4"/>
    </row>
    <row r="139" spans="4:37">
      <c r="F139" s="4"/>
    </row>
    <row r="140" spans="4:37">
      <c r="D140" s="2" t="s">
        <v>304</v>
      </c>
      <c r="E140" s="2" t="s">
        <v>2356</v>
      </c>
      <c r="F140" s="2"/>
      <c r="G140" s="2"/>
      <c r="H140" s="2"/>
    </row>
    <row r="141" spans="4:37">
      <c r="E141" t="s">
        <v>112</v>
      </c>
      <c r="F141" t="s">
        <v>52</v>
      </c>
    </row>
    <row r="142" spans="4:37">
      <c r="E142" t="s">
        <v>113</v>
      </c>
      <c r="F142" t="s">
        <v>475</v>
      </c>
    </row>
    <row r="143" spans="4:37"/>
    <row r="144" spans="4:37">
      <c r="D144" s="2" t="s">
        <v>430</v>
      </c>
      <c r="E144" s="2" t="s">
        <v>2357</v>
      </c>
    </row>
    <row r="145" spans="3:7">
      <c r="E145" s="218" t="s">
        <v>2358</v>
      </c>
      <c r="F145" s="218"/>
    </row>
    <row r="146" spans="3:7"/>
    <row r="147" spans="3:7">
      <c r="C147" s="2" t="s">
        <v>6</v>
      </c>
      <c r="G147" s="2" t="s">
        <v>381</v>
      </c>
    </row>
    <row r="148" spans="3:7">
      <c r="D148" s="2" t="s">
        <v>208</v>
      </c>
      <c r="E148" s="2" t="s">
        <v>135</v>
      </c>
    </row>
    <row r="149" spans="3:7">
      <c r="E149" t="s">
        <v>807</v>
      </c>
    </row>
    <row r="150" spans="3:7"/>
    <row r="151" spans="3:7">
      <c r="D151" s="2" t="s">
        <v>342</v>
      </c>
      <c r="E151" s="2" t="s">
        <v>533</v>
      </c>
      <c r="F151" s="2"/>
    </row>
    <row r="152" spans="3:7">
      <c r="E152" s="4" t="s">
        <v>945</v>
      </c>
      <c r="F152" s="4"/>
    </row>
    <row r="153" spans="3:7"/>
    <row r="154" spans="3:7">
      <c r="D154" s="2" t="s">
        <v>583</v>
      </c>
      <c r="E154" s="2" t="s">
        <v>562</v>
      </c>
    </row>
    <row r="155" spans="3:7">
      <c r="E155" s="4" t="s">
        <v>946</v>
      </c>
    </row>
    <row r="156" spans="3:7">
      <c r="E156" s="4" t="s">
        <v>944</v>
      </c>
      <c r="G156" s="4"/>
    </row>
    <row r="157" spans="3:7"/>
    <row r="158" spans="3:7">
      <c r="D158" s="2" t="s">
        <v>523</v>
      </c>
      <c r="E158" s="2" t="s">
        <v>542</v>
      </c>
    </row>
    <row r="159" spans="3:7">
      <c r="E159" t="s">
        <v>112</v>
      </c>
      <c r="F159" s="4" t="s">
        <v>947</v>
      </c>
    </row>
    <row r="160" spans="3:7">
      <c r="E160" s="4" t="s">
        <v>113</v>
      </c>
      <c r="F160" s="4" t="s">
        <v>948</v>
      </c>
    </row>
    <row r="161" spans="3:20">
      <c r="E161" s="4" t="s">
        <v>119</v>
      </c>
      <c r="F161" t="s">
        <v>735</v>
      </c>
    </row>
    <row r="162" spans="3:20"/>
    <row r="163" spans="3:20">
      <c r="D163" s="2" t="s">
        <v>304</v>
      </c>
      <c r="E163" s="2" t="s">
        <v>382</v>
      </c>
    </row>
    <row r="164" spans="3:20">
      <c r="E164" s="4" t="s">
        <v>949</v>
      </c>
      <c r="F164" s="4"/>
    </row>
    <row r="165" spans="3:20"/>
    <row r="166" spans="3:20">
      <c r="D166" s="2" t="s">
        <v>430</v>
      </c>
      <c r="E166" s="2" t="s">
        <v>172</v>
      </c>
    </row>
    <row r="167" spans="3:20">
      <c r="E167" s="4" t="s">
        <v>951</v>
      </c>
    </row>
    <row r="168" spans="3:20">
      <c r="E168" s="4" t="s">
        <v>950</v>
      </c>
    </row>
    <row r="169" spans="3:20"/>
    <row r="170" spans="3:20">
      <c r="D170" s="2" t="s">
        <v>566</v>
      </c>
      <c r="E170" s="2" t="s">
        <v>631</v>
      </c>
    </row>
    <row r="171" spans="3:20">
      <c r="E171" t="s">
        <v>112</v>
      </c>
      <c r="F171" t="s">
        <v>736</v>
      </c>
    </row>
    <row r="172" spans="3:20">
      <c r="E172" t="s">
        <v>113</v>
      </c>
      <c r="F172" t="s">
        <v>298</v>
      </c>
    </row>
    <row r="173" spans="3:20">
      <c r="F173" s="4"/>
    </row>
    <row r="174" spans="3:20">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952</v>
      </c>
    </row>
    <row r="180" spans="2:19">
      <c r="F180" s="120" t="s">
        <v>1251</v>
      </c>
      <c r="I180" s="120"/>
    </row>
    <row r="181" spans="2:19">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c r="D185" s="2" t="s">
        <v>342</v>
      </c>
      <c r="E185" s="2" t="s">
        <v>1033</v>
      </c>
    </row>
    <row r="186" spans="2:19">
      <c r="B186" s="4"/>
      <c r="C186" s="4"/>
      <c r="E186" s="4" t="s">
        <v>719</v>
      </c>
      <c r="F186" s="4"/>
      <c r="I186" s="4"/>
    </row>
    <row r="187" spans="2:19">
      <c r="B187" s="4"/>
      <c r="C187" s="4"/>
      <c r="E187" s="4" t="s">
        <v>1031</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1041</v>
      </c>
      <c r="G193" s="4"/>
      <c r="H193" s="4"/>
      <c r="I193" s="4"/>
    </row>
    <row r="194" spans="2:37">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955</v>
      </c>
      <c r="M202" s="4"/>
      <c r="N202" s="4"/>
      <c r="O202" s="4"/>
      <c r="P202" s="4"/>
      <c r="Q202" s="4"/>
      <c r="R202" s="4"/>
      <c r="S202" s="4"/>
    </row>
    <row r="203" spans="2:37">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c r="B206" s="4"/>
      <c r="C206" s="4"/>
      <c r="D206" s="2"/>
      <c r="E206" s="4" t="s">
        <v>590</v>
      </c>
      <c r="F206" s="4" t="s">
        <v>957</v>
      </c>
      <c r="M206" s="4"/>
      <c r="N206" s="4"/>
      <c r="O206" s="4"/>
      <c r="P206" s="4"/>
      <c r="Q206" s="4"/>
      <c r="R206" s="4"/>
      <c r="S206" s="4"/>
    </row>
    <row r="207" spans="2:37">
      <c r="B207" s="4"/>
      <c r="C207" s="4"/>
      <c r="D207" s="2"/>
      <c r="F207" t="s">
        <v>662</v>
      </c>
      <c r="G207" s="1272" t="s">
        <v>1283</v>
      </c>
      <c r="H207" s="1272"/>
      <c r="I207" s="1272"/>
      <c r="J207" s="1272"/>
      <c r="K207" s="1272"/>
      <c r="L207" s="1272"/>
      <c r="M207" s="1272"/>
      <c r="N207" s="1272"/>
      <c r="O207" s="1272"/>
      <c r="P207" s="1272"/>
      <c r="Q207" s="1272"/>
      <c r="R207" s="1272"/>
      <c r="S207" s="1272"/>
      <c r="T207" s="1272"/>
      <c r="U207" s="1272"/>
      <c r="V207" s="1272"/>
      <c r="W207" s="1272"/>
      <c r="X207" s="1272"/>
      <c r="Y207" s="1272"/>
      <c r="Z207" s="1272"/>
      <c r="AA207" s="1272"/>
      <c r="AB207" s="1272"/>
      <c r="AC207" s="1272"/>
      <c r="AD207" s="1272"/>
      <c r="AE207" s="1272"/>
      <c r="AF207" s="1272"/>
      <c r="AG207" s="1272"/>
      <c r="AH207" s="1272"/>
      <c r="AI207" s="1272"/>
      <c r="AJ207" s="1272"/>
      <c r="AK207" s="1272"/>
    </row>
    <row r="208" spans="2:37">
      <c r="B208" s="4"/>
      <c r="C208" s="4"/>
      <c r="D208" s="2"/>
      <c r="G208" s="1272"/>
      <c r="H208" s="1272"/>
      <c r="I208" s="1272"/>
      <c r="J208" s="1272"/>
      <c r="K208" s="1272"/>
      <c r="L208" s="1272"/>
      <c r="M208" s="1272"/>
      <c r="N208" s="1272"/>
      <c r="O208" s="1272"/>
      <c r="P208" s="1272"/>
      <c r="Q208" s="1272"/>
      <c r="R208" s="1272"/>
      <c r="S208" s="1272"/>
      <c r="T208" s="1272"/>
      <c r="U208" s="1272"/>
      <c r="V208" s="1272"/>
      <c r="W208" s="1272"/>
      <c r="X208" s="1272"/>
      <c r="Y208" s="1272"/>
      <c r="Z208" s="1272"/>
      <c r="AA208" s="1272"/>
      <c r="AB208" s="1272"/>
      <c r="AC208" s="1272"/>
      <c r="AD208" s="1272"/>
      <c r="AE208" s="1272"/>
      <c r="AF208" s="1272"/>
      <c r="AG208" s="1272"/>
      <c r="AH208" s="1272"/>
      <c r="AI208" s="1272"/>
      <c r="AJ208" s="1272"/>
      <c r="AK208" s="1272"/>
    </row>
    <row r="209" spans="1:38">
      <c r="B209" s="4"/>
      <c r="C209" s="4"/>
      <c r="D209" s="2"/>
      <c r="M209" s="4"/>
      <c r="N209" s="4"/>
      <c r="O209" s="4"/>
      <c r="P209" s="4"/>
      <c r="Q209" s="4"/>
      <c r="R209" s="4"/>
      <c r="S209" s="4"/>
    </row>
    <row r="210" spans="1:38">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726</v>
      </c>
      <c r="G226" s="4"/>
      <c r="I226" s="4"/>
      <c r="J226" s="4"/>
      <c r="K226" s="4"/>
      <c r="L226" s="4"/>
      <c r="M226" s="4"/>
      <c r="N226" s="4"/>
      <c r="O226" s="4"/>
      <c r="P226" s="4"/>
      <c r="Q226" s="4"/>
      <c r="R226" s="4"/>
      <c r="S226" s="4"/>
    </row>
    <row r="227" spans="2:19">
      <c r="B227" s="2"/>
      <c r="E227" s="4" t="s">
        <v>113</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727</v>
      </c>
      <c r="G230" s="4"/>
      <c r="I230" s="4"/>
      <c r="J230" s="4"/>
      <c r="K230" s="4"/>
      <c r="L230" s="4"/>
      <c r="M230" s="4"/>
      <c r="N230" s="4"/>
      <c r="O230" s="4"/>
      <c r="P230" s="4"/>
      <c r="Q230" s="4"/>
      <c r="R230" s="4"/>
      <c r="S230" s="4"/>
    </row>
    <row r="231" spans="2:19">
      <c r="B231" s="2"/>
      <c r="E231" s="4"/>
      <c r="F231" s="4" t="s">
        <v>728</v>
      </c>
      <c r="G231" s="4"/>
      <c r="H231" s="4"/>
      <c r="I231" s="4"/>
      <c r="J231" s="4"/>
      <c r="K231" s="4"/>
      <c r="L231" s="4"/>
      <c r="M231" s="4"/>
      <c r="N231" s="4"/>
      <c r="O231" s="4"/>
      <c r="P231" s="4"/>
      <c r="Q231" s="4"/>
      <c r="R231" s="4"/>
      <c r="S231" s="4"/>
    </row>
    <row r="232" spans="2:19">
      <c r="B232" s="2"/>
      <c r="D232" s="4"/>
      <c r="E232" s="4" t="s">
        <v>113</v>
      </c>
      <c r="F232" s="4" t="s">
        <v>689</v>
      </c>
      <c r="G232" s="4"/>
      <c r="I232" s="4"/>
      <c r="J232" s="4"/>
      <c r="K232" s="4"/>
      <c r="L232" s="4"/>
      <c r="M232" s="4"/>
      <c r="N232" s="4"/>
      <c r="O232" s="4"/>
      <c r="P232" s="4"/>
      <c r="Q232" s="4"/>
      <c r="R232" s="4"/>
      <c r="S232" s="4"/>
    </row>
    <row r="233" spans="2:19">
      <c r="B233" s="2"/>
      <c r="E233" s="4" t="s">
        <v>119</v>
      </c>
      <c r="F233" s="98" t="s">
        <v>972</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1252</v>
      </c>
      <c r="G253" s="4"/>
      <c r="I253" s="120"/>
      <c r="J253" s="4"/>
      <c r="K253" s="4"/>
      <c r="L253" s="4"/>
      <c r="M253" s="4"/>
      <c r="N253" s="4"/>
      <c r="O253" s="4"/>
      <c r="P253" s="4"/>
      <c r="Q253" s="4"/>
      <c r="R253" s="4"/>
      <c r="S253" s="4"/>
      <c r="T253" s="4"/>
      <c r="U253" s="4"/>
    </row>
    <row r="254" spans="2:21">
      <c r="B254" s="2"/>
      <c r="C254" s="2"/>
      <c r="E254" s="4" t="s">
        <v>113</v>
      </c>
      <c r="F254" s="4" t="s">
        <v>958</v>
      </c>
      <c r="I254" s="4"/>
      <c r="J254" s="4"/>
      <c r="K254" s="4"/>
      <c r="L254" s="4"/>
      <c r="M254" s="4"/>
      <c r="N254" s="4"/>
      <c r="O254" s="4"/>
      <c r="P254" s="4"/>
      <c r="Q254" s="4"/>
      <c r="R254" s="4"/>
      <c r="S254" s="4"/>
      <c r="T254" s="4"/>
      <c r="U254" s="4"/>
    </row>
    <row r="255" spans="2:21">
      <c r="B255" s="2"/>
      <c r="C255" s="2"/>
      <c r="E255" s="4"/>
      <c r="F255" s="218" t="s">
        <v>662</v>
      </c>
      <c r="G255" s="218" t="s">
        <v>821</v>
      </c>
      <c r="I255" s="3"/>
      <c r="K255" s="3"/>
      <c r="L255" s="3"/>
      <c r="M255" s="3"/>
      <c r="N255" s="3"/>
      <c r="O255" s="3"/>
      <c r="Q255" s="4"/>
      <c r="R255" s="4"/>
      <c r="S255" s="4"/>
      <c r="T255" s="4"/>
      <c r="U255" s="4"/>
    </row>
    <row r="256" spans="2:21">
      <c r="B256" s="2"/>
      <c r="C256" s="2"/>
      <c r="E256" s="4"/>
      <c r="F256" s="218"/>
      <c r="G256" s="218" t="s">
        <v>822</v>
      </c>
      <c r="I256" s="3"/>
      <c r="K256" s="3"/>
      <c r="L256" s="3"/>
      <c r="M256" s="3"/>
      <c r="N256" s="3"/>
      <c r="O256" s="3"/>
      <c r="P256" s="3"/>
    </row>
    <row r="257" spans="2:21">
      <c r="B257" s="2"/>
      <c r="C257" s="2"/>
      <c r="E257" s="4"/>
      <c r="F257" s="218" t="s">
        <v>349</v>
      </c>
      <c r="G257" s="218" t="s">
        <v>964</v>
      </c>
      <c r="I257" s="4"/>
      <c r="K257" s="4"/>
      <c r="L257" s="4"/>
      <c r="M257" s="4"/>
      <c r="N257" s="4"/>
      <c r="O257" s="4"/>
      <c r="P257" s="3"/>
    </row>
    <row r="258" spans="2:21">
      <c r="B258" s="2"/>
      <c r="C258" s="2"/>
      <c r="E258" s="4"/>
      <c r="F258" s="218"/>
      <c r="G258" s="218" t="s">
        <v>882</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813</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814</v>
      </c>
      <c r="I264" s="4"/>
      <c r="J264" s="4"/>
      <c r="K264" s="4"/>
      <c r="L264" s="4"/>
      <c r="M264" s="4"/>
      <c r="N264" s="4"/>
      <c r="O264" s="4"/>
      <c r="P264" s="4"/>
      <c r="Q264" s="4"/>
      <c r="R264" s="4"/>
      <c r="S264" s="4"/>
    </row>
    <row r="265" spans="2:21">
      <c r="B265" s="2"/>
      <c r="C265" s="2"/>
      <c r="E265" s="4" t="s">
        <v>590</v>
      </c>
      <c r="F265" s="218" t="s">
        <v>823</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1043</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965</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1036</v>
      </c>
      <c r="J275" s="4"/>
      <c r="K275" s="4"/>
      <c r="L275" s="4"/>
      <c r="M275" s="4"/>
      <c r="N275" s="4"/>
      <c r="O275" s="4"/>
      <c r="P275" s="4"/>
      <c r="Q275" s="4"/>
      <c r="R275" s="4"/>
      <c r="S275" s="4"/>
      <c r="T275" s="4"/>
      <c r="U275" s="4"/>
    </row>
    <row r="276" spans="2:21">
      <c r="B276" s="2"/>
      <c r="D276" s="4"/>
      <c r="E276" s="4" t="s">
        <v>959</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966</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967</v>
      </c>
      <c r="F285" s="120"/>
      <c r="G285" s="4"/>
      <c r="H285" s="120"/>
      <c r="I285" s="120"/>
      <c r="J285" s="4"/>
      <c r="K285" s="4"/>
      <c r="L285" s="4"/>
      <c r="M285" s="4"/>
      <c r="P285" s="4"/>
      <c r="Q285" s="4"/>
      <c r="R285" s="4"/>
      <c r="S285" s="4"/>
    </row>
    <row r="286" spans="2:21">
      <c r="B286" s="2"/>
      <c r="D286" s="2"/>
      <c r="E286" s="483" t="s">
        <v>881</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960</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752</v>
      </c>
      <c r="G299" s="4"/>
      <c r="K299" s="4"/>
      <c r="L299" s="4"/>
      <c r="M299" s="4"/>
      <c r="N299" s="4"/>
      <c r="O299" s="4"/>
      <c r="P299" s="4"/>
      <c r="Q299" s="4"/>
      <c r="R299" s="4"/>
      <c r="S299" s="4"/>
      <c r="T299" s="4"/>
      <c r="U299" s="4"/>
      <c r="V299" s="4"/>
      <c r="W299" s="4"/>
    </row>
    <row r="300" spans="2:23">
      <c r="B300" s="2"/>
      <c r="D300" s="4"/>
      <c r="E300" s="4" t="s">
        <v>773</v>
      </c>
      <c r="F300" s="4" t="s">
        <v>759</v>
      </c>
      <c r="G300" s="4"/>
      <c r="K300" s="4"/>
      <c r="L300" s="4"/>
      <c r="M300" s="4"/>
      <c r="N300" s="4"/>
      <c r="O300" s="4"/>
      <c r="P300" s="4"/>
      <c r="Q300" s="4"/>
      <c r="R300" s="4"/>
      <c r="S300" s="4"/>
      <c r="T300" s="4"/>
      <c r="U300" s="4"/>
      <c r="V300" s="4"/>
      <c r="W300" s="4"/>
    </row>
    <row r="301" spans="2:2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968</v>
      </c>
      <c r="F306" s="4"/>
      <c r="K306" s="4"/>
      <c r="L306" s="4"/>
      <c r="M306" s="4"/>
      <c r="N306" s="4"/>
      <c r="O306" s="4"/>
      <c r="P306" s="4"/>
      <c r="Q306" s="4"/>
      <c r="R306" s="4"/>
      <c r="S306" s="4"/>
      <c r="T306" s="4"/>
      <c r="U306" s="4"/>
      <c r="V306" s="4"/>
      <c r="W306" s="4"/>
    </row>
    <row r="307" spans="2:23">
      <c r="B307" s="2"/>
      <c r="D307" s="2"/>
      <c r="E307" s="4" t="s">
        <v>966</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809</v>
      </c>
      <c r="F312" s="4"/>
      <c r="G312" s="4"/>
      <c r="I312" s="4"/>
      <c r="K312" s="4"/>
    </row>
    <row r="313" spans="2:23">
      <c r="B313" s="2"/>
      <c r="D313" s="2"/>
      <c r="E313" s="4" t="s">
        <v>969</v>
      </c>
      <c r="F313" s="4"/>
      <c r="G313" s="4"/>
      <c r="I313" s="4"/>
      <c r="K313" s="4"/>
    </row>
    <row r="314" spans="2:23">
      <c r="B314" s="2"/>
      <c r="D314" s="2"/>
      <c r="E314" s="4" t="s">
        <v>810</v>
      </c>
      <c r="F314" s="4"/>
      <c r="G314" s="4"/>
      <c r="I314" s="4"/>
      <c r="K314" s="4"/>
    </row>
    <row r="315" spans="2:23">
      <c r="B315" s="2"/>
      <c r="D315" s="2"/>
      <c r="G315" s="4"/>
      <c r="I315" s="4"/>
      <c r="K315" s="4"/>
    </row>
    <row r="316" spans="2:23">
      <c r="B316" s="2"/>
      <c r="D316" s="2" t="s">
        <v>342</v>
      </c>
      <c r="E316" s="2" t="s">
        <v>761</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745</v>
      </c>
      <c r="F319" s="3"/>
      <c r="G319" s="4"/>
      <c r="H319" s="4"/>
      <c r="I319" s="4"/>
      <c r="J319" s="4"/>
      <c r="K319" s="4"/>
      <c r="L319" s="4"/>
      <c r="M319" s="4"/>
      <c r="N319" s="4"/>
      <c r="O319" s="4"/>
      <c r="P319" s="4"/>
      <c r="Q319" s="4"/>
      <c r="R319" s="4"/>
      <c r="S319" s="4"/>
    </row>
    <row r="320" spans="2:23">
      <c r="B320" s="2"/>
      <c r="E320" t="s">
        <v>742</v>
      </c>
      <c r="I320" s="4"/>
      <c r="J320" s="4"/>
      <c r="K320" s="4"/>
      <c r="L320" s="4"/>
      <c r="M320" s="4"/>
      <c r="N320" s="4"/>
      <c r="O320" s="4"/>
      <c r="P320" s="4"/>
      <c r="Q320" s="4"/>
      <c r="R320" s="4"/>
      <c r="S320" s="4"/>
    </row>
    <row r="321" spans="1:38">
      <c r="B321" s="2"/>
      <c r="E321" t="s">
        <v>743</v>
      </c>
      <c r="I321" s="4"/>
      <c r="J321" s="4"/>
      <c r="K321" s="4"/>
      <c r="L321" s="4"/>
      <c r="M321" s="4"/>
      <c r="N321" s="4"/>
      <c r="O321" s="4"/>
      <c r="P321" s="4"/>
      <c r="Q321" s="4"/>
      <c r="R321" s="4"/>
      <c r="S321" s="4"/>
    </row>
    <row r="322" spans="1:38">
      <c r="B322" s="2"/>
      <c r="E322" t="s">
        <v>744</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c r="F328" s="120" t="s">
        <v>1254</v>
      </c>
      <c r="I328" s="120"/>
      <c r="J328" s="4"/>
      <c r="K328" s="4"/>
      <c r="L328" s="4"/>
      <c r="M328" s="4"/>
      <c r="N328" s="4"/>
      <c r="O328" s="4"/>
      <c r="P328" s="4"/>
      <c r="Q328" s="4"/>
      <c r="R328" s="4"/>
      <c r="S328" s="4"/>
    </row>
    <row r="329" spans="1:38">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749</v>
      </c>
      <c r="J335" s="4"/>
      <c r="K335" s="4"/>
      <c r="L335" s="4"/>
      <c r="M335" s="4"/>
      <c r="N335" s="4"/>
      <c r="O335" s="4"/>
      <c r="P335" s="4"/>
      <c r="Q335" s="4"/>
      <c r="R335" s="4"/>
      <c r="S335" s="4"/>
    </row>
    <row r="336" spans="1:38">
      <c r="B336" s="2"/>
      <c r="E336" s="4"/>
      <c r="F336" s="4" t="s">
        <v>750</v>
      </c>
      <c r="J336" s="4"/>
      <c r="K336" s="4"/>
      <c r="L336" s="4"/>
      <c r="M336" s="4"/>
      <c r="N336" s="4"/>
      <c r="O336" s="4"/>
      <c r="P336" s="4"/>
      <c r="Q336" s="4"/>
      <c r="R336" s="4"/>
      <c r="S336" s="4"/>
    </row>
    <row r="337" spans="2:37">
      <c r="B337" s="2"/>
      <c r="E337" s="4"/>
      <c r="F337" s="4" t="s">
        <v>751</v>
      </c>
      <c r="I337" s="4"/>
      <c r="J337" s="4"/>
      <c r="K337" s="4"/>
      <c r="L337" s="4"/>
      <c r="M337" s="4"/>
      <c r="N337" s="4"/>
      <c r="O337" s="4"/>
      <c r="P337" s="4"/>
      <c r="Q337" s="4"/>
      <c r="R337" s="4"/>
      <c r="S337" s="4"/>
    </row>
    <row r="338" spans="2:37">
      <c r="B338" s="2"/>
      <c r="E338" s="4" t="s">
        <v>113</v>
      </c>
      <c r="F338" s="1272" t="s">
        <v>1258</v>
      </c>
      <c r="G338" s="1272"/>
      <c r="H338" s="1272"/>
      <c r="I338" s="1272"/>
      <c r="J338" s="1272"/>
      <c r="K338" s="1272"/>
      <c r="L338" s="1272"/>
      <c r="M338" s="1272"/>
      <c r="N338" s="1272"/>
      <c r="O338" s="1272"/>
      <c r="P338" s="1272"/>
      <c r="Q338" s="1272"/>
      <c r="R338" s="1272"/>
      <c r="S338" s="1272"/>
      <c r="T338" s="1272"/>
      <c r="U338" s="1272"/>
      <c r="V338" s="1272"/>
      <c r="W338" s="1272"/>
      <c r="X338" s="1272"/>
      <c r="Y338" s="1272"/>
      <c r="Z338" s="1272"/>
      <c r="AA338" s="1272"/>
      <c r="AB338" s="1272"/>
      <c r="AC338" s="1272"/>
      <c r="AD338" s="1272"/>
      <c r="AE338" s="1272"/>
      <c r="AF338" s="1272"/>
      <c r="AG338" s="1272"/>
      <c r="AH338" s="1272"/>
      <c r="AI338" s="1272"/>
      <c r="AJ338" s="1272"/>
      <c r="AK338" s="1272"/>
    </row>
    <row r="339" spans="2:37">
      <c r="B339" s="2"/>
      <c r="E339" s="4"/>
      <c r="F339" s="1272"/>
      <c r="G339" s="1272"/>
      <c r="H339" s="1272"/>
      <c r="I339" s="1272"/>
      <c r="J339" s="1272"/>
      <c r="K339" s="1272"/>
      <c r="L339" s="1272"/>
      <c r="M339" s="1272"/>
      <c r="N339" s="1272"/>
      <c r="O339" s="1272"/>
      <c r="P339" s="1272"/>
      <c r="Q339" s="1272"/>
      <c r="R339" s="1272"/>
      <c r="S339" s="1272"/>
      <c r="T339" s="1272"/>
      <c r="U339" s="1272"/>
      <c r="V339" s="1272"/>
      <c r="W339" s="1272"/>
      <c r="X339" s="1272"/>
      <c r="Y339" s="1272"/>
      <c r="Z339" s="1272"/>
      <c r="AA339" s="1272"/>
      <c r="AB339" s="1272"/>
      <c r="AC339" s="1272"/>
      <c r="AD339" s="1272"/>
      <c r="AE339" s="1272"/>
      <c r="AF339" s="1272"/>
      <c r="AG339" s="1272"/>
      <c r="AH339" s="1272"/>
      <c r="AI339" s="1272"/>
      <c r="AJ339" s="1272"/>
      <c r="AK339" s="1272"/>
    </row>
    <row r="340" spans="2:37">
      <c r="B340" s="2"/>
      <c r="E340" s="4"/>
      <c r="F340" s="1272"/>
      <c r="G340" s="1272"/>
      <c r="H340" s="1272"/>
      <c r="I340" s="1272"/>
      <c r="J340" s="1272"/>
      <c r="K340" s="1272"/>
      <c r="L340" s="1272"/>
      <c r="M340" s="1272"/>
      <c r="N340" s="1272"/>
      <c r="O340" s="1272"/>
      <c r="P340" s="1272"/>
      <c r="Q340" s="1272"/>
      <c r="R340" s="1272"/>
      <c r="S340" s="1272"/>
      <c r="T340" s="1272"/>
      <c r="U340" s="1272"/>
      <c r="V340" s="1272"/>
      <c r="W340" s="1272"/>
      <c r="X340" s="1272"/>
      <c r="Y340" s="1272"/>
      <c r="Z340" s="1272"/>
      <c r="AA340" s="1272"/>
      <c r="AB340" s="1272"/>
      <c r="AC340" s="1272"/>
      <c r="AD340" s="1272"/>
      <c r="AE340" s="1272"/>
      <c r="AF340" s="1272"/>
      <c r="AG340" s="1272"/>
      <c r="AH340" s="1272"/>
      <c r="AI340" s="1272"/>
      <c r="AJ340" s="1272"/>
      <c r="AK340" s="1272"/>
    </row>
    <row r="341" spans="2:37">
      <c r="B341" s="2"/>
      <c r="F341" s="4"/>
      <c r="H341" s="4"/>
      <c r="I341" s="4"/>
      <c r="J341" s="4"/>
      <c r="K341" s="4"/>
      <c r="L341" s="4"/>
      <c r="M341" s="4"/>
      <c r="N341" s="4"/>
      <c r="O341" s="4"/>
      <c r="P341" s="4"/>
      <c r="Q341" s="4"/>
      <c r="R341" s="4"/>
      <c r="S341" s="4"/>
    </row>
    <row r="342" spans="2:37">
      <c r="B342" s="2"/>
      <c r="C342" s="2" t="s">
        <v>432</v>
      </c>
      <c r="G342" s="2" t="s">
        <v>1336</v>
      </c>
      <c r="I342" s="2"/>
      <c r="J342" s="4"/>
      <c r="K342" s="4"/>
      <c r="L342" s="4"/>
      <c r="M342" s="4"/>
      <c r="N342" s="4"/>
      <c r="O342" s="4"/>
      <c r="P342" s="4"/>
      <c r="Q342" s="4"/>
      <c r="R342" s="4"/>
      <c r="S342" s="4"/>
    </row>
    <row r="343" spans="2:37" ht="13.15" customHeight="1">
      <c r="B343" s="2"/>
      <c r="E343" s="1277" t="s">
        <v>1343</v>
      </c>
      <c r="F343" s="1277"/>
      <c r="G343" s="1277"/>
      <c r="H343" s="1277"/>
      <c r="I343" s="1277"/>
      <c r="J343" s="1277"/>
      <c r="K343" s="1277"/>
      <c r="L343" s="1277"/>
      <c r="M343" s="1277"/>
      <c r="N343" s="1277"/>
      <c r="O343" s="1277"/>
      <c r="P343" s="1277"/>
      <c r="Q343" s="1277"/>
      <c r="R343" s="1277"/>
      <c r="S343" s="1277"/>
      <c r="T343" s="1277"/>
      <c r="U343" s="1277"/>
      <c r="V343" s="1277"/>
      <c r="W343" s="1277"/>
      <c r="X343" s="1277"/>
      <c r="Y343" s="1277"/>
      <c r="Z343" s="1277"/>
      <c r="AA343" s="1277"/>
      <c r="AB343" s="1277"/>
      <c r="AC343" s="1277"/>
      <c r="AD343" s="1277"/>
      <c r="AE343" s="1277"/>
      <c r="AF343" s="1277"/>
      <c r="AG343" s="1277"/>
      <c r="AH343" s="1277"/>
      <c r="AI343" s="1277"/>
      <c r="AJ343" s="1277"/>
      <c r="AK343" s="1277"/>
    </row>
    <row r="344" spans="2:37">
      <c r="B344" s="2"/>
      <c r="E344" s="1277"/>
      <c r="F344" s="1277"/>
      <c r="G344" s="1277"/>
      <c r="H344" s="1277"/>
      <c r="I344" s="1277"/>
      <c r="J344" s="1277"/>
      <c r="K344" s="1277"/>
      <c r="L344" s="1277"/>
      <c r="M344" s="1277"/>
      <c r="N344" s="1277"/>
      <c r="O344" s="1277"/>
      <c r="P344" s="1277"/>
      <c r="Q344" s="1277"/>
      <c r="R344" s="1277"/>
      <c r="S344" s="1277"/>
      <c r="T344" s="1277"/>
      <c r="U344" s="1277"/>
      <c r="V344" s="1277"/>
      <c r="W344" s="1277"/>
      <c r="X344" s="1277"/>
      <c r="Y344" s="1277"/>
      <c r="Z344" s="1277"/>
      <c r="AA344" s="1277"/>
      <c r="AB344" s="1277"/>
      <c r="AC344" s="1277"/>
      <c r="AD344" s="1277"/>
      <c r="AE344" s="1277"/>
      <c r="AF344" s="1277"/>
      <c r="AG344" s="1277"/>
      <c r="AH344" s="1277"/>
      <c r="AI344" s="1277"/>
      <c r="AJ344" s="1277"/>
      <c r="AK344" s="1277"/>
    </row>
    <row r="345" spans="2:37">
      <c r="B345" s="2"/>
      <c r="E345" s="1277"/>
      <c r="F345" s="1277"/>
      <c r="G345" s="1277"/>
      <c r="H345" s="1277"/>
      <c r="I345" s="1277"/>
      <c r="J345" s="1277"/>
      <c r="K345" s="1277"/>
      <c r="L345" s="1277"/>
      <c r="M345" s="1277"/>
      <c r="N345" s="1277"/>
      <c r="O345" s="1277"/>
      <c r="P345" s="1277"/>
      <c r="Q345" s="1277"/>
      <c r="R345" s="1277"/>
      <c r="S345" s="1277"/>
      <c r="T345" s="1277"/>
      <c r="U345" s="1277"/>
      <c r="V345" s="1277"/>
      <c r="W345" s="1277"/>
      <c r="X345" s="1277"/>
      <c r="Y345" s="1277"/>
      <c r="Z345" s="1277"/>
      <c r="AA345" s="1277"/>
      <c r="AB345" s="1277"/>
      <c r="AC345" s="1277"/>
      <c r="AD345" s="1277"/>
      <c r="AE345" s="1277"/>
      <c r="AF345" s="1277"/>
      <c r="AG345" s="1277"/>
      <c r="AH345" s="1277"/>
      <c r="AI345" s="1277"/>
      <c r="AJ345" s="1277"/>
      <c r="AK345" s="1277"/>
    </row>
    <row r="346" spans="2:37">
      <c r="B346" s="2"/>
      <c r="E346" s="1277"/>
      <c r="F346" s="1277"/>
      <c r="G346" s="1277"/>
      <c r="H346" s="1277"/>
      <c r="I346" s="1277"/>
      <c r="J346" s="1277"/>
      <c r="K346" s="1277"/>
      <c r="L346" s="1277"/>
      <c r="M346" s="1277"/>
      <c r="N346" s="1277"/>
      <c r="O346" s="1277"/>
      <c r="P346" s="1277"/>
      <c r="Q346" s="1277"/>
      <c r="R346" s="1277"/>
      <c r="S346" s="1277"/>
      <c r="T346" s="1277"/>
      <c r="U346" s="1277"/>
      <c r="V346" s="1277"/>
      <c r="W346" s="1277"/>
      <c r="X346" s="1277"/>
      <c r="Y346" s="1277"/>
      <c r="Z346" s="1277"/>
      <c r="AA346" s="1277"/>
      <c r="AB346" s="1277"/>
      <c r="AC346" s="1277"/>
      <c r="AD346" s="1277"/>
      <c r="AE346" s="1277"/>
      <c r="AF346" s="1277"/>
      <c r="AG346" s="1277"/>
      <c r="AH346" s="1277"/>
      <c r="AI346" s="1277"/>
      <c r="AJ346" s="1277"/>
      <c r="AK346" s="1277"/>
    </row>
    <row r="347" spans="2:37">
      <c r="B347" s="2"/>
      <c r="E347" s="1277"/>
      <c r="F347" s="1277"/>
      <c r="G347" s="1277"/>
      <c r="H347" s="1277"/>
      <c r="I347" s="1277"/>
      <c r="J347" s="1277"/>
      <c r="K347" s="1277"/>
      <c r="L347" s="1277"/>
      <c r="M347" s="1277"/>
      <c r="N347" s="1277"/>
      <c r="O347" s="1277"/>
      <c r="P347" s="1277"/>
      <c r="Q347" s="1277"/>
      <c r="R347" s="1277"/>
      <c r="S347" s="1277"/>
      <c r="T347" s="1277"/>
      <c r="U347" s="1277"/>
      <c r="V347" s="1277"/>
      <c r="W347" s="1277"/>
      <c r="X347" s="1277"/>
      <c r="Y347" s="1277"/>
      <c r="Z347" s="1277"/>
      <c r="AA347" s="1277"/>
      <c r="AB347" s="1277"/>
      <c r="AC347" s="1277"/>
      <c r="AD347" s="1277"/>
      <c r="AE347" s="1277"/>
      <c r="AF347" s="1277"/>
      <c r="AG347" s="1277"/>
      <c r="AH347" s="1277"/>
      <c r="AI347" s="1277"/>
      <c r="AJ347" s="1277"/>
      <c r="AK347" s="1277"/>
    </row>
    <row r="348" spans="2:37">
      <c r="B348" s="2"/>
      <c r="E348" s="3" t="s">
        <v>112</v>
      </c>
      <c r="F348" s="1272" t="s">
        <v>1345</v>
      </c>
      <c r="G348" s="1272"/>
      <c r="H348" s="1272"/>
      <c r="I348" s="1272"/>
      <c r="J348" s="1272"/>
      <c r="K348" s="1272"/>
      <c r="L348" s="1272"/>
      <c r="M348" s="1272"/>
      <c r="N348" s="1272"/>
      <c r="O348" s="1272"/>
      <c r="P348" s="1272"/>
      <c r="Q348" s="1272"/>
      <c r="R348" s="1272"/>
      <c r="S348" s="1272"/>
      <c r="T348" s="1272"/>
      <c r="U348" s="1272"/>
      <c r="V348" s="1272"/>
      <c r="W348" s="1272"/>
      <c r="X348" s="1272"/>
      <c r="Y348" s="1272"/>
      <c r="Z348" s="1272"/>
      <c r="AA348" s="1272"/>
      <c r="AB348" s="1272"/>
      <c r="AC348" s="1272"/>
      <c r="AD348" s="1272"/>
      <c r="AE348" s="1272"/>
      <c r="AF348" s="1272"/>
      <c r="AG348" s="1272"/>
      <c r="AH348" s="1272"/>
      <c r="AI348" s="1272"/>
      <c r="AJ348" s="1272"/>
      <c r="AK348" s="1272"/>
    </row>
    <row r="349" spans="2:37">
      <c r="B349" s="2"/>
      <c r="E349" s="3"/>
      <c r="F349" s="1272"/>
      <c r="G349" s="1272"/>
      <c r="H349" s="1272"/>
      <c r="I349" s="1272"/>
      <c r="J349" s="1272"/>
      <c r="K349" s="1272"/>
      <c r="L349" s="1272"/>
      <c r="M349" s="1272"/>
      <c r="N349" s="1272"/>
      <c r="O349" s="1272"/>
      <c r="P349" s="1272"/>
      <c r="Q349" s="1272"/>
      <c r="R349" s="1272"/>
      <c r="S349" s="1272"/>
      <c r="T349" s="1272"/>
      <c r="U349" s="1272"/>
      <c r="V349" s="1272"/>
      <c r="W349" s="1272"/>
      <c r="X349" s="1272"/>
      <c r="Y349" s="1272"/>
      <c r="Z349" s="1272"/>
      <c r="AA349" s="1272"/>
      <c r="AB349" s="1272"/>
      <c r="AC349" s="1272"/>
      <c r="AD349" s="1272"/>
      <c r="AE349" s="1272"/>
      <c r="AF349" s="1272"/>
      <c r="AG349" s="1272"/>
      <c r="AH349" s="1272"/>
      <c r="AI349" s="1272"/>
      <c r="AJ349" s="1272"/>
      <c r="AK349" s="1272"/>
    </row>
    <row r="350" spans="2:37">
      <c r="B350" s="2"/>
      <c r="E350" s="3"/>
      <c r="F350" s="1272"/>
      <c r="G350" s="1272"/>
      <c r="H350" s="1272"/>
      <c r="I350" s="1272"/>
      <c r="J350" s="1272"/>
      <c r="K350" s="1272"/>
      <c r="L350" s="1272"/>
      <c r="M350" s="1272"/>
      <c r="N350" s="1272"/>
      <c r="O350" s="1272"/>
      <c r="P350" s="1272"/>
      <c r="Q350" s="1272"/>
      <c r="R350" s="1272"/>
      <c r="S350" s="1272"/>
      <c r="T350" s="1272"/>
      <c r="U350" s="1272"/>
      <c r="V350" s="1272"/>
      <c r="W350" s="1272"/>
      <c r="X350" s="1272"/>
      <c r="Y350" s="1272"/>
      <c r="Z350" s="1272"/>
      <c r="AA350" s="1272"/>
      <c r="AB350" s="1272"/>
      <c r="AC350" s="1272"/>
      <c r="AD350" s="1272"/>
      <c r="AE350" s="1272"/>
      <c r="AF350" s="1272"/>
      <c r="AG350" s="1272"/>
      <c r="AH350" s="1272"/>
      <c r="AI350" s="1272"/>
      <c r="AJ350" s="1272"/>
      <c r="AK350" s="1272"/>
    </row>
    <row r="351" spans="2:37">
      <c r="B351" s="2"/>
      <c r="E351" s="3"/>
      <c r="F351" s="1272"/>
      <c r="G351" s="1272"/>
      <c r="H351" s="1272"/>
      <c r="I351" s="1272"/>
      <c r="J351" s="1272"/>
      <c r="K351" s="1272"/>
      <c r="L351" s="1272"/>
      <c r="M351" s="1272"/>
      <c r="N351" s="1272"/>
      <c r="O351" s="1272"/>
      <c r="P351" s="1272"/>
      <c r="Q351" s="1272"/>
      <c r="R351" s="1272"/>
      <c r="S351" s="1272"/>
      <c r="T351" s="1272"/>
      <c r="U351" s="1272"/>
      <c r="V351" s="1272"/>
      <c r="W351" s="1272"/>
      <c r="X351" s="1272"/>
      <c r="Y351" s="1272"/>
      <c r="Z351" s="1272"/>
      <c r="AA351" s="1272"/>
      <c r="AB351" s="1272"/>
      <c r="AC351" s="1272"/>
      <c r="AD351" s="1272"/>
      <c r="AE351" s="1272"/>
      <c r="AF351" s="1272"/>
      <c r="AG351" s="1272"/>
      <c r="AH351" s="1272"/>
      <c r="AI351" s="1272"/>
      <c r="AJ351" s="1272"/>
      <c r="AK351" s="1272"/>
    </row>
    <row r="352" spans="2:37">
      <c r="B352" s="2"/>
      <c r="E352" s="3" t="s">
        <v>113</v>
      </c>
      <c r="F352" s="1272" t="s">
        <v>1344</v>
      </c>
      <c r="G352" s="1272"/>
      <c r="H352" s="1272"/>
      <c r="I352" s="1272"/>
      <c r="J352" s="1272"/>
      <c r="K352" s="1272"/>
      <c r="L352" s="1272"/>
      <c r="M352" s="1272"/>
      <c r="N352" s="1272"/>
      <c r="O352" s="1272"/>
      <c r="P352" s="1272"/>
      <c r="Q352" s="1272"/>
      <c r="R352" s="1272"/>
      <c r="S352" s="1272"/>
      <c r="T352" s="1272"/>
      <c r="U352" s="1272"/>
      <c r="V352" s="1272"/>
      <c r="W352" s="1272"/>
      <c r="X352" s="1272"/>
      <c r="Y352" s="1272"/>
      <c r="Z352" s="1272"/>
      <c r="AA352" s="1272"/>
      <c r="AB352" s="1272"/>
      <c r="AC352" s="1272"/>
      <c r="AD352" s="1272"/>
      <c r="AE352" s="1272"/>
      <c r="AF352" s="1272"/>
      <c r="AG352" s="1272"/>
      <c r="AH352" s="1272"/>
      <c r="AI352" s="1272"/>
      <c r="AJ352" s="1272"/>
      <c r="AK352" s="1272"/>
    </row>
    <row r="353" spans="1:38">
      <c r="B353" s="2"/>
      <c r="F353" s="1272"/>
      <c r="G353" s="1272"/>
      <c r="H353" s="1272"/>
      <c r="I353" s="1272"/>
      <c r="J353" s="1272"/>
      <c r="K353" s="1272"/>
      <c r="L353" s="1272"/>
      <c r="M353" s="1272"/>
      <c r="N353" s="1272"/>
      <c r="O353" s="1272"/>
      <c r="P353" s="1272"/>
      <c r="Q353" s="1272"/>
      <c r="R353" s="1272"/>
      <c r="S353" s="1272"/>
      <c r="T353" s="1272"/>
      <c r="U353" s="1272"/>
      <c r="V353" s="1272"/>
      <c r="W353" s="1272"/>
      <c r="X353" s="1272"/>
      <c r="Y353" s="1272"/>
      <c r="Z353" s="1272"/>
      <c r="AA353" s="1272"/>
      <c r="AB353" s="1272"/>
      <c r="AC353" s="1272"/>
      <c r="AD353" s="1272"/>
      <c r="AE353" s="1272"/>
      <c r="AF353" s="1272"/>
      <c r="AG353" s="1272"/>
      <c r="AH353" s="1272"/>
      <c r="AI353" s="1272"/>
      <c r="AJ353" s="1272"/>
      <c r="AK353" s="1272"/>
    </row>
    <row r="354" spans="1:38">
      <c r="B354" s="2"/>
      <c r="F354" s="1272"/>
      <c r="G354" s="1272"/>
      <c r="H354" s="1272"/>
      <c r="I354" s="1272"/>
      <c r="J354" s="1272"/>
      <c r="K354" s="1272"/>
      <c r="L354" s="1272"/>
      <c r="M354" s="1272"/>
      <c r="N354" s="1272"/>
      <c r="O354" s="1272"/>
      <c r="P354" s="1272"/>
      <c r="Q354" s="1272"/>
      <c r="R354" s="1272"/>
      <c r="S354" s="1272"/>
      <c r="T354" s="1272"/>
      <c r="U354" s="1272"/>
      <c r="V354" s="1272"/>
      <c r="W354" s="1272"/>
      <c r="X354" s="1272"/>
      <c r="Y354" s="1272"/>
      <c r="Z354" s="1272"/>
      <c r="AA354" s="1272"/>
      <c r="AB354" s="1272"/>
      <c r="AC354" s="1272"/>
      <c r="AD354" s="1272"/>
      <c r="AE354" s="1272"/>
      <c r="AF354" s="1272"/>
      <c r="AG354" s="1272"/>
      <c r="AH354" s="1272"/>
      <c r="AI354" s="1272"/>
      <c r="AJ354" s="1272"/>
      <c r="AK354" s="1272"/>
    </row>
    <row r="355" spans="1:38">
      <c r="B355" s="2"/>
      <c r="F355" s="4"/>
      <c r="H355" s="4"/>
      <c r="I355" s="4"/>
      <c r="J355" s="4"/>
      <c r="K355" s="4"/>
      <c r="L355" s="4"/>
      <c r="M355" s="4"/>
      <c r="N355" s="4"/>
      <c r="O355" s="4"/>
      <c r="P355" s="4"/>
      <c r="Q355" s="4"/>
      <c r="R355" s="4"/>
      <c r="S355" s="4"/>
    </row>
    <row r="356" spans="1:38">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753</v>
      </c>
      <c r="I361" s="4"/>
      <c r="J361" s="4"/>
      <c r="K361" s="4"/>
      <c r="L361" s="4"/>
      <c r="M361" s="4"/>
      <c r="N361" s="4"/>
      <c r="O361" s="4"/>
      <c r="P361" s="4"/>
      <c r="Q361" s="4"/>
      <c r="R361" s="4"/>
      <c r="S361" s="4"/>
    </row>
    <row r="362" spans="1:38">
      <c r="B362" s="2"/>
      <c r="F362" s="4" t="s">
        <v>754</v>
      </c>
      <c r="I362" s="4"/>
      <c r="J362" s="4"/>
      <c r="K362" s="4"/>
      <c r="L362" s="4"/>
      <c r="M362" s="4"/>
      <c r="N362" s="4"/>
      <c r="O362" s="4"/>
      <c r="P362" s="4"/>
      <c r="Q362" s="4"/>
      <c r="R362" s="4"/>
      <c r="S362" s="4"/>
    </row>
    <row r="363" spans="1:38">
      <c r="B363" s="2"/>
      <c r="F363" s="4" t="s">
        <v>884</v>
      </c>
      <c r="G363" s="4"/>
      <c r="K363" s="4"/>
      <c r="L363" s="4"/>
      <c r="M363" s="4"/>
      <c r="N363" s="4"/>
      <c r="O363" s="4"/>
      <c r="P363" s="4"/>
      <c r="Q363" s="4"/>
      <c r="R363" s="4"/>
      <c r="S363" s="4"/>
    </row>
    <row r="364" spans="1:38">
      <c r="B364" s="2"/>
      <c r="E364" t="s">
        <v>113</v>
      </c>
      <c r="F364" s="4" t="s">
        <v>883</v>
      </c>
      <c r="I364" s="4"/>
      <c r="J364" s="4"/>
      <c r="K364" s="4"/>
      <c r="L364" s="4"/>
      <c r="M364" s="4"/>
      <c r="N364" s="4"/>
      <c r="O364" s="4"/>
      <c r="P364" s="4"/>
      <c r="Q364" s="4"/>
      <c r="R364" s="4"/>
      <c r="S364" s="4"/>
    </row>
    <row r="365" spans="1:38">
      <c r="B365" s="2"/>
      <c r="E365" t="s">
        <v>119</v>
      </c>
      <c r="F365" s="4" t="s">
        <v>755</v>
      </c>
      <c r="I365" s="4"/>
      <c r="J365" s="4"/>
      <c r="K365" s="4"/>
      <c r="L365" s="4"/>
      <c r="M365" s="4"/>
      <c r="N365" s="4"/>
      <c r="O365" s="4"/>
      <c r="P365" s="4"/>
      <c r="Q365" s="4"/>
      <c r="R365" s="4"/>
      <c r="S365" s="4"/>
    </row>
    <row r="366" spans="1:38">
      <c r="B366" s="2"/>
      <c r="F366" s="4" t="s">
        <v>756</v>
      </c>
      <c r="J366" s="4"/>
      <c r="K366" s="4"/>
      <c r="L366" s="4"/>
      <c r="M366" s="4"/>
      <c r="N366" s="4"/>
      <c r="O366" s="4"/>
      <c r="P366" s="4"/>
      <c r="Q366" s="4"/>
      <c r="R366" s="4"/>
      <c r="S366" s="4"/>
    </row>
    <row r="367" spans="1:38">
      <c r="B367" s="2"/>
      <c r="E367" s="1280" t="s">
        <v>1334</v>
      </c>
      <c r="F367" s="1280"/>
      <c r="G367" s="1280"/>
      <c r="H367" s="1280"/>
      <c r="I367" s="1280"/>
      <c r="J367" s="1280"/>
      <c r="K367" s="1280"/>
      <c r="L367" s="1280"/>
      <c r="M367" s="1280"/>
      <c r="N367" s="1280"/>
      <c r="O367" s="1280"/>
      <c r="P367" s="1280"/>
      <c r="Q367" s="1280"/>
      <c r="R367" s="1280"/>
      <c r="S367" s="1280"/>
      <c r="T367" s="1280"/>
      <c r="U367" s="1280"/>
      <c r="V367" s="1280"/>
      <c r="W367" s="1280"/>
      <c r="X367" s="1280"/>
      <c r="Y367" s="1280"/>
      <c r="Z367" s="1280"/>
      <c r="AA367" s="1280"/>
      <c r="AB367" s="1280"/>
      <c r="AC367" s="1280"/>
      <c r="AD367" s="1280"/>
      <c r="AE367" s="1280"/>
      <c r="AF367" s="1280"/>
      <c r="AG367" s="1280"/>
      <c r="AH367" s="1280"/>
      <c r="AI367" s="1280"/>
      <c r="AJ367" s="1280"/>
      <c r="AK367" s="1280"/>
      <c r="AL367" s="1280"/>
    </row>
    <row r="368" spans="1:38">
      <c r="B368" s="2"/>
      <c r="E368" s="1280"/>
      <c r="F368" s="1280"/>
      <c r="G368" s="1280"/>
      <c r="H368" s="1280"/>
      <c r="I368" s="1280"/>
      <c r="J368" s="1280"/>
      <c r="K368" s="1280"/>
      <c r="L368" s="1280"/>
      <c r="M368" s="1280"/>
      <c r="N368" s="1280"/>
      <c r="O368" s="1280"/>
      <c r="P368" s="1280"/>
      <c r="Q368" s="1280"/>
      <c r="R368" s="1280"/>
      <c r="S368" s="1280"/>
      <c r="T368" s="1280"/>
      <c r="U368" s="1280"/>
      <c r="V368" s="1280"/>
      <c r="W368" s="1280"/>
      <c r="X368" s="1280"/>
      <c r="Y368" s="1280"/>
      <c r="Z368" s="1280"/>
      <c r="AA368" s="1280"/>
      <c r="AB368" s="1280"/>
      <c r="AC368" s="1280"/>
      <c r="AD368" s="1280"/>
      <c r="AE368" s="1280"/>
      <c r="AF368" s="1280"/>
      <c r="AG368" s="1280"/>
      <c r="AH368" s="1280"/>
      <c r="AI368" s="1280"/>
      <c r="AJ368" s="1280"/>
      <c r="AK368" s="1280"/>
      <c r="AL368" s="1280"/>
    </row>
    <row r="369" spans="1:37" s="1281" customFormat="1">
      <c r="A369"/>
      <c r="B369" s="2"/>
      <c r="C369"/>
      <c r="D369"/>
      <c r="E369" s="1278" t="s">
        <v>1368</v>
      </c>
    </row>
    <row r="370" spans="1:37" s="1281"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577</v>
      </c>
      <c r="J372" s="4"/>
      <c r="K372" s="4"/>
      <c r="L372" s="4"/>
      <c r="M372" s="4"/>
      <c r="N372" s="4"/>
      <c r="O372" s="4"/>
      <c r="P372" s="4"/>
      <c r="Q372" s="4"/>
      <c r="R372" s="4"/>
      <c r="S372" s="4"/>
    </row>
    <row r="373" spans="1:37">
      <c r="B373" s="2"/>
      <c r="E373" s="4" t="s">
        <v>757</v>
      </c>
      <c r="F373" s="4"/>
      <c r="G373" s="4"/>
      <c r="H373" s="4"/>
      <c r="I373" s="4"/>
      <c r="J373" s="4"/>
      <c r="K373" s="4"/>
      <c r="L373" s="4"/>
      <c r="M373" s="4"/>
      <c r="N373" s="4"/>
      <c r="O373" s="4"/>
      <c r="P373" s="4"/>
      <c r="Q373" s="4"/>
      <c r="R373" s="4"/>
      <c r="S373" s="4"/>
    </row>
    <row r="374" spans="1:37">
      <c r="B374" s="2"/>
      <c r="E374" s="4" t="s">
        <v>758</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1256</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1369</v>
      </c>
      <c r="J381" s="3"/>
      <c r="K381" s="3"/>
      <c r="L381" s="3"/>
      <c r="M381" s="3"/>
      <c r="N381" s="3"/>
      <c r="O381" s="3"/>
      <c r="P381" s="3"/>
      <c r="Q381" s="3"/>
      <c r="R381" s="3"/>
      <c r="S381" s="3"/>
    </row>
    <row r="382" spans="1:37">
      <c r="B382" s="2"/>
      <c r="D382" s="2"/>
      <c r="E382" s="3" t="s">
        <v>757</v>
      </c>
      <c r="F382" s="3"/>
      <c r="G382" s="3"/>
      <c r="J382" s="3"/>
      <c r="K382" s="3"/>
      <c r="L382" s="3"/>
      <c r="M382" s="3"/>
      <c r="N382" s="3"/>
      <c r="O382" s="3"/>
      <c r="P382" s="3"/>
      <c r="Q382" s="3"/>
      <c r="R382" s="3"/>
      <c r="S382" s="3"/>
    </row>
    <row r="383" spans="1:37">
      <c r="B383" s="2"/>
      <c r="D383" s="2"/>
      <c r="E383" s="3" t="s">
        <v>1259</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1370</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72" t="s">
        <v>1379</v>
      </c>
      <c r="G388" s="1272"/>
      <c r="H388" s="1272"/>
      <c r="I388" s="1272"/>
      <c r="J388" s="1272"/>
      <c r="K388" s="1272"/>
      <c r="L388" s="1272"/>
      <c r="M388" s="1272"/>
      <c r="N388" s="1272"/>
      <c r="O388" s="1272"/>
      <c r="P388" s="1272"/>
      <c r="Q388" s="1272"/>
      <c r="R388" s="1272"/>
      <c r="S388" s="1272"/>
      <c r="T388" s="1272"/>
      <c r="U388" s="1272"/>
      <c r="V388" s="1272"/>
      <c r="W388" s="1272"/>
      <c r="X388" s="1272"/>
      <c r="Y388" s="1272"/>
      <c r="Z388" s="1272"/>
      <c r="AA388" s="1272"/>
      <c r="AB388" s="1272"/>
      <c r="AC388" s="1272"/>
      <c r="AD388" s="1272"/>
      <c r="AE388" s="1272"/>
      <c r="AF388" s="1272"/>
      <c r="AG388" s="1272"/>
      <c r="AH388" s="1272"/>
      <c r="AI388" s="1272"/>
      <c r="AJ388" s="1272"/>
      <c r="AK388" s="1272"/>
    </row>
    <row r="389" spans="1:38">
      <c r="B389" s="2"/>
      <c r="E389" s="3"/>
      <c r="F389" s="1272"/>
      <c r="G389" s="1272"/>
      <c r="H389" s="1272"/>
      <c r="I389" s="1272"/>
      <c r="J389" s="1272"/>
      <c r="K389" s="1272"/>
      <c r="L389" s="1272"/>
      <c r="M389" s="1272"/>
      <c r="N389" s="1272"/>
      <c r="O389" s="1272"/>
      <c r="P389" s="1272"/>
      <c r="Q389" s="1272"/>
      <c r="R389" s="1272"/>
      <c r="S389" s="1272"/>
      <c r="T389" s="1272"/>
      <c r="U389" s="1272"/>
      <c r="V389" s="1272"/>
      <c r="W389" s="1272"/>
      <c r="X389" s="1272"/>
      <c r="Y389" s="1272"/>
      <c r="Z389" s="1272"/>
      <c r="AA389" s="1272"/>
      <c r="AB389" s="1272"/>
      <c r="AC389" s="1272"/>
      <c r="AD389" s="1272"/>
      <c r="AE389" s="1272"/>
      <c r="AF389" s="1272"/>
      <c r="AG389" s="1272"/>
      <c r="AH389" s="1272"/>
      <c r="AI389" s="1272"/>
      <c r="AJ389" s="1272"/>
      <c r="AK389" s="1272"/>
    </row>
    <row r="390" spans="1:38">
      <c r="B390" s="2"/>
      <c r="E390" s="3"/>
      <c r="F390" s="1272"/>
      <c r="G390" s="1272"/>
      <c r="H390" s="1272"/>
      <c r="I390" s="1272"/>
      <c r="J390" s="1272"/>
      <c r="K390" s="1272"/>
      <c r="L390" s="1272"/>
      <c r="M390" s="1272"/>
      <c r="N390" s="1272"/>
      <c r="O390" s="1272"/>
      <c r="P390" s="1272"/>
      <c r="Q390" s="1272"/>
      <c r="R390" s="1272"/>
      <c r="S390" s="1272"/>
      <c r="T390" s="1272"/>
      <c r="U390" s="1272"/>
      <c r="V390" s="1272"/>
      <c r="W390" s="1272"/>
      <c r="X390" s="1272"/>
      <c r="Y390" s="1272"/>
      <c r="Z390" s="1272"/>
      <c r="AA390" s="1272"/>
      <c r="AB390" s="1272"/>
      <c r="AC390" s="1272"/>
      <c r="AD390" s="1272"/>
      <c r="AE390" s="1272"/>
      <c r="AF390" s="1272"/>
      <c r="AG390" s="1272"/>
      <c r="AH390" s="1272"/>
      <c r="AI390" s="1272"/>
      <c r="AJ390" s="1272"/>
      <c r="AK390" s="1272"/>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1385</v>
      </c>
      <c r="F392" s="3"/>
      <c r="G392" s="2"/>
      <c r="I392" s="120"/>
      <c r="J392" s="3"/>
      <c r="K392" s="3"/>
      <c r="L392" s="3"/>
      <c r="M392" s="3"/>
      <c r="N392" s="3"/>
      <c r="O392" s="3"/>
      <c r="P392" s="3"/>
      <c r="Q392" s="3"/>
      <c r="R392" s="3"/>
      <c r="S392" s="3"/>
    </row>
    <row r="393" spans="1:38" ht="13.15" customHeight="1">
      <c r="B393" s="2"/>
      <c r="D393" s="2"/>
      <c r="E393" s="3" t="s">
        <v>1384</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49" zoomScaleNormal="100" workbookViewId="0">
      <selection activeCell="AO13" sqref="AO13:AS13"/>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580" t="s">
        <v>2413</v>
      </c>
      <c r="B1" s="2581"/>
      <c r="C1" s="2581"/>
      <c r="D1" s="2581"/>
      <c r="E1" s="2581"/>
      <c r="F1" s="2581"/>
      <c r="G1" s="2581"/>
      <c r="H1" s="2581"/>
      <c r="I1" s="2581"/>
      <c r="J1" s="2581"/>
      <c r="K1" s="2581"/>
      <c r="L1" s="2581"/>
      <c r="M1" s="2581"/>
      <c r="N1" s="2581"/>
      <c r="O1" s="2581"/>
      <c r="P1" s="2581"/>
      <c r="Q1" s="2581"/>
      <c r="R1" s="2581"/>
      <c r="S1" s="2581"/>
      <c r="T1" s="2581"/>
      <c r="U1" s="2581"/>
      <c r="V1" s="2581"/>
      <c r="W1" s="2581"/>
      <c r="X1" s="2581"/>
      <c r="Y1" s="2581"/>
      <c r="Z1" s="2581"/>
      <c r="AA1" s="2581"/>
      <c r="AB1" s="2581"/>
      <c r="AC1" s="2581"/>
      <c r="AD1" s="2581"/>
      <c r="AE1" s="2581"/>
      <c r="AF1" s="2581"/>
      <c r="AG1" s="2581"/>
      <c r="AH1" s="2581"/>
      <c r="AI1" s="2581"/>
      <c r="AJ1" s="2581"/>
      <c r="AK1" s="2581"/>
      <c r="AL1" s="2581"/>
      <c r="AM1" s="2581"/>
      <c r="AN1" s="2581"/>
      <c r="AO1" s="2581"/>
      <c r="AP1" s="2581"/>
      <c r="AQ1" s="2581"/>
      <c r="AR1" s="2581"/>
      <c r="AS1" s="2581"/>
      <c r="AT1" s="2581"/>
      <c r="AU1" s="2581"/>
      <c r="AV1" s="2581"/>
      <c r="AW1" s="2581"/>
      <c r="AX1" s="2581"/>
      <c r="AY1" s="2581"/>
      <c r="AZ1" s="2581"/>
      <c r="BA1" s="2581"/>
      <c r="BB1" s="2581"/>
      <c r="BC1" s="2581"/>
      <c r="BD1" s="2581"/>
      <c r="BE1" s="2582"/>
    </row>
    <row r="2" spans="1:65" ht="15.75" customHeight="1">
      <c r="A2" s="2583" t="s">
        <v>2460</v>
      </c>
      <c r="B2" s="2584"/>
      <c r="C2" s="2584"/>
      <c r="D2" s="2584"/>
      <c r="E2" s="2584"/>
      <c r="F2" s="2584"/>
      <c r="G2" s="2584"/>
      <c r="H2" s="2584"/>
      <c r="I2" s="2584"/>
      <c r="J2" s="2584"/>
      <c r="K2" s="2584"/>
      <c r="L2" s="2584"/>
      <c r="M2" s="2584"/>
      <c r="N2" s="2584"/>
      <c r="O2" s="2584"/>
      <c r="P2" s="2584"/>
      <c r="Q2" s="2584"/>
      <c r="R2" s="2584"/>
      <c r="S2" s="2584"/>
      <c r="T2" s="2584"/>
      <c r="U2" s="2584"/>
      <c r="V2" s="2584"/>
      <c r="W2" s="2584"/>
      <c r="X2" s="2584"/>
      <c r="Y2" s="2584"/>
      <c r="Z2" s="2584"/>
      <c r="AA2" s="2584"/>
      <c r="AB2" s="2584"/>
      <c r="AC2" s="2584"/>
      <c r="AD2" s="2584"/>
      <c r="AE2" s="2584"/>
      <c r="AF2" s="2584"/>
      <c r="AG2" s="2584"/>
      <c r="AH2" s="2584"/>
      <c r="AI2" s="2584"/>
      <c r="AJ2" s="2584"/>
      <c r="AK2" s="2584"/>
      <c r="AL2" s="2584"/>
      <c r="AM2" s="2584"/>
      <c r="AN2" s="2584"/>
      <c r="AO2" s="2584"/>
      <c r="AP2" s="2584"/>
      <c r="AQ2" s="2584"/>
      <c r="AR2" s="2584"/>
      <c r="AS2" s="2584"/>
      <c r="AT2" s="2584"/>
      <c r="AU2" s="2584"/>
      <c r="AV2" s="2584"/>
      <c r="AW2" s="2584"/>
      <c r="AX2" s="2584"/>
      <c r="AY2" s="2584"/>
      <c r="AZ2" s="2584"/>
      <c r="BA2" s="2584"/>
      <c r="BB2" s="2584"/>
      <c r="BC2" s="2584"/>
      <c r="BD2" s="2584"/>
      <c r="BE2" s="2585"/>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586" t="str">
        <f>IF(Application!H18="","",Application!H18)</f>
        <v>Spring Street Trolley Station</v>
      </c>
      <c r="M4" s="2587"/>
      <c r="N4" s="2587"/>
      <c r="O4" s="2587"/>
      <c r="P4" s="2587"/>
      <c r="Q4" s="2587"/>
      <c r="R4" s="2587"/>
      <c r="S4" s="2587"/>
      <c r="T4" s="2587"/>
      <c r="U4" s="2587"/>
      <c r="V4" s="2587"/>
      <c r="W4" s="2587"/>
      <c r="X4" s="2587"/>
      <c r="Y4" s="2587"/>
      <c r="Z4" s="2587"/>
      <c r="AA4" s="2587"/>
      <c r="AB4" s="2587"/>
      <c r="AC4" s="2588"/>
      <c r="AD4" s="1206"/>
      <c r="AE4" s="1206"/>
      <c r="AF4" s="2233" t="s">
        <v>2461</v>
      </c>
      <c r="AG4" s="2233"/>
      <c r="AH4" s="2233"/>
      <c r="AI4" s="2233"/>
      <c r="AJ4" s="2233"/>
      <c r="AK4" s="2233"/>
      <c r="AL4" s="2233"/>
      <c r="AM4" s="2233"/>
      <c r="AN4" s="2233"/>
      <c r="AO4" s="2233"/>
      <c r="AP4" s="2234"/>
      <c r="AQ4" s="2235"/>
      <c r="AR4" s="2235"/>
      <c r="AS4" s="2235"/>
      <c r="AT4" s="2235"/>
      <c r="AU4" s="2235"/>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3" t="s">
        <v>2462</v>
      </c>
      <c r="AG5" s="2233"/>
      <c r="AH5" s="2233"/>
      <c r="AI5" s="2233"/>
      <c r="AJ5" s="2233"/>
      <c r="AK5" s="2233"/>
      <c r="AL5" s="2233"/>
      <c r="AM5" s="2233"/>
      <c r="AN5" s="2233"/>
      <c r="AO5" s="2233"/>
      <c r="AP5" s="2234"/>
      <c r="AQ5" s="2235"/>
      <c r="AR5" s="2235"/>
      <c r="AS5" s="2235"/>
      <c r="AT5" s="2235"/>
      <c r="AU5" s="2235"/>
      <c r="AV5" s="1206"/>
      <c r="AW5" s="1206"/>
      <c r="AX5" s="1206"/>
      <c r="AY5" s="1206"/>
      <c r="AZ5" s="1206"/>
      <c r="BA5" s="1206"/>
      <c r="BB5" s="1206"/>
      <c r="BC5" s="1206"/>
      <c r="BD5" s="1206"/>
      <c r="BE5" s="1216"/>
    </row>
    <row r="6" spans="1:65" ht="15.75" customHeight="1" thickBot="1">
      <c r="A6" s="1212"/>
      <c r="B6" s="1214" t="s">
        <v>1790</v>
      </c>
      <c r="C6" s="1206"/>
      <c r="D6" s="1206"/>
      <c r="E6" s="1206"/>
      <c r="F6" s="1206"/>
      <c r="G6" s="1206"/>
      <c r="H6" s="1206"/>
      <c r="I6" s="1206"/>
      <c r="J6" s="1206"/>
      <c r="K6" s="1206"/>
      <c r="L6" s="2586" t="str">
        <f>IF(Application!H16="","",Application!H16)</f>
        <v>Compass for Affordable Housing</v>
      </c>
      <c r="M6" s="2587"/>
      <c r="N6" s="2587"/>
      <c r="O6" s="2587"/>
      <c r="P6" s="2587"/>
      <c r="Q6" s="2587"/>
      <c r="R6" s="2587"/>
      <c r="S6" s="2587"/>
      <c r="T6" s="2587"/>
      <c r="U6" s="2587"/>
      <c r="V6" s="2587"/>
      <c r="W6" s="2587"/>
      <c r="X6" s="2587"/>
      <c r="Y6" s="2587"/>
      <c r="Z6" s="2587"/>
      <c r="AA6" s="2587"/>
      <c r="AB6" s="2587"/>
      <c r="AC6" s="2588"/>
      <c r="AD6" s="1206"/>
      <c r="AE6" s="1206"/>
      <c r="AF6" s="2589" t="s">
        <v>2463</v>
      </c>
      <c r="AG6" s="2589"/>
      <c r="AH6" s="2589"/>
      <c r="AI6" s="2589"/>
      <c r="AJ6" s="2589"/>
      <c r="AK6" s="2589"/>
      <c r="AL6" s="2589"/>
      <c r="AM6" s="2589"/>
      <c r="AN6" s="2589"/>
      <c r="AO6" s="2589"/>
      <c r="AP6" s="2579">
        <v>0</v>
      </c>
      <c r="AQ6" s="2579"/>
      <c r="AR6" s="2579"/>
      <c r="AS6" s="2579"/>
      <c r="AT6" s="2579"/>
      <c r="AU6" s="2579"/>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89" t="s">
        <v>2464</v>
      </c>
      <c r="AG7" s="2589"/>
      <c r="AH7" s="2589"/>
      <c r="AI7" s="2589"/>
      <c r="AJ7" s="2589"/>
      <c r="AK7" s="2589"/>
      <c r="AL7" s="2589"/>
      <c r="AM7" s="2589"/>
      <c r="AN7" s="2589"/>
      <c r="AO7" s="2589"/>
      <c r="AP7" s="2579">
        <v>0</v>
      </c>
      <c r="AQ7" s="2579"/>
      <c r="AR7" s="2579"/>
      <c r="AS7" s="2579"/>
      <c r="AT7" s="2579"/>
      <c r="AU7" s="2579"/>
      <c r="AV7" s="1206"/>
      <c r="AW7" s="1206"/>
      <c r="AX7" s="1206"/>
      <c r="AY7" s="1206"/>
      <c r="AZ7" s="1206"/>
      <c r="BA7" s="1206"/>
      <c r="BB7" s="1206"/>
      <c r="BC7" s="1206"/>
      <c r="BD7" s="1206"/>
      <c r="BE7" s="1216"/>
    </row>
    <row r="8" spans="1:65" thickBot="1">
      <c r="A8" s="1212"/>
      <c r="B8" s="1214" t="s">
        <v>1791</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90" t="str">
        <f>Application!T197</f>
        <v>No</v>
      </c>
      <c r="AC8" s="2591"/>
      <c r="AD8" s="2592"/>
      <c r="AE8" s="1206"/>
      <c r="AF8" s="2589" t="s">
        <v>2465</v>
      </c>
      <c r="AG8" s="2589"/>
      <c r="AH8" s="2589"/>
      <c r="AI8" s="2589"/>
      <c r="AJ8" s="2589"/>
      <c r="AK8" s="2589"/>
      <c r="AL8" s="2589"/>
      <c r="AM8" s="2589"/>
      <c r="AN8" s="2589"/>
      <c r="AO8" s="2589"/>
      <c r="AP8" s="2579" t="s">
        <v>2417</v>
      </c>
      <c r="AQ8" s="2579"/>
      <c r="AR8" s="2579"/>
      <c r="AS8" s="2579"/>
      <c r="AT8" s="2579"/>
      <c r="AU8" s="2579"/>
      <c r="AV8" s="1206"/>
      <c r="AW8" s="1206"/>
      <c r="AX8" s="1206"/>
      <c r="AY8" s="1206"/>
      <c r="AZ8" s="1206"/>
      <c r="BA8" s="1206"/>
      <c r="BB8" s="1206"/>
      <c r="BC8" s="1206"/>
      <c r="BD8" s="1206"/>
      <c r="BE8" s="1216"/>
      <c r="BM8" s="1197" t="s">
        <v>2293</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3" t="s">
        <v>2623</v>
      </c>
      <c r="AG9" s="2233"/>
      <c r="AH9" s="2233"/>
      <c r="AI9" s="2233"/>
      <c r="AJ9" s="2233"/>
      <c r="AK9" s="2233"/>
      <c r="AL9" s="2233"/>
      <c r="AM9" s="2233"/>
      <c r="AN9" s="2233"/>
      <c r="AO9" s="2233"/>
      <c r="AP9" s="2234"/>
      <c r="AQ9" s="2235"/>
      <c r="AR9" s="2235"/>
      <c r="AS9" s="2235"/>
      <c r="AT9" s="2235"/>
      <c r="AU9" s="2235"/>
      <c r="AV9" s="1206"/>
      <c r="AW9" s="1206"/>
      <c r="AX9" s="1206"/>
      <c r="AY9" s="1206"/>
      <c r="AZ9" s="1206"/>
      <c r="BA9" s="1206"/>
      <c r="BB9" s="1206"/>
      <c r="BC9" s="1206"/>
      <c r="BD9" s="1206"/>
      <c r="BE9" s="1216"/>
      <c r="BM9" s="1197" t="s">
        <v>2466</v>
      </c>
    </row>
    <row r="10" spans="1:65" ht="15">
      <c r="A10" s="1212"/>
      <c r="B10" s="1214" t="s">
        <v>1792</v>
      </c>
      <c r="C10" s="1214"/>
      <c r="D10" s="1214"/>
      <c r="E10" s="1214"/>
      <c r="F10" s="1214"/>
      <c r="G10" s="1214"/>
      <c r="H10" s="1214"/>
      <c r="I10" s="1214"/>
      <c r="J10" s="1214"/>
      <c r="K10" s="1214"/>
      <c r="L10" s="1214"/>
      <c r="M10" s="1206"/>
      <c r="N10" s="2561">
        <f>Application!AO627</f>
        <v>29911551</v>
      </c>
      <c r="O10" s="2561"/>
      <c r="P10" s="2561"/>
      <c r="Q10" s="2561"/>
      <c r="R10" s="2561"/>
      <c r="S10" s="2561"/>
      <c r="T10" s="2561"/>
      <c r="U10" s="1206"/>
      <c r="V10" s="1206"/>
      <c r="W10" s="1206"/>
      <c r="X10" s="1255"/>
      <c r="Y10" s="1255"/>
      <c r="Z10" s="1255"/>
      <c r="AA10" s="1255"/>
      <c r="AB10" s="1255"/>
      <c r="AC10" s="1255"/>
      <c r="AD10" s="1255"/>
      <c r="AE10" s="1255"/>
      <c r="AF10" s="2233" t="s">
        <v>2622</v>
      </c>
      <c r="AG10" s="2233"/>
      <c r="AH10" s="2233"/>
      <c r="AI10" s="2233"/>
      <c r="AJ10" s="2233"/>
      <c r="AK10" s="2233"/>
      <c r="AL10" s="2233"/>
      <c r="AM10" s="2233"/>
      <c r="AN10" s="2233"/>
      <c r="AO10" s="2233"/>
      <c r="AP10" s="2234"/>
      <c r="AQ10" s="2235"/>
      <c r="AR10" s="2235"/>
      <c r="AS10" s="2235"/>
      <c r="AT10" s="2235"/>
      <c r="AU10" s="2235"/>
      <c r="AV10" s="1255"/>
      <c r="AW10" s="1255"/>
      <c r="AX10" s="1206"/>
      <c r="AY10" s="1206"/>
      <c r="AZ10" s="1206"/>
      <c r="BA10" s="1206"/>
      <c r="BB10" s="1206"/>
      <c r="BC10" s="1206"/>
      <c r="BD10" s="1206"/>
      <c r="BE10" s="1216"/>
      <c r="BM10" s="1197" t="s">
        <v>2468</v>
      </c>
    </row>
    <row r="11" spans="1:65" ht="15">
      <c r="A11" s="1212"/>
      <c r="B11" s="1214" t="s">
        <v>1793</v>
      </c>
      <c r="C11" s="1214"/>
      <c r="D11" s="1214"/>
      <c r="E11" s="1214"/>
      <c r="F11" s="1214"/>
      <c r="G11" s="1214"/>
      <c r="H11" s="1214"/>
      <c r="I11" s="1214"/>
      <c r="J11" s="1214"/>
      <c r="K11" s="1214"/>
      <c r="L11" s="1214"/>
      <c r="M11" s="1206"/>
      <c r="N11" s="2561">
        <f>Application!AA933</f>
        <v>0</v>
      </c>
      <c r="O11" s="2561"/>
      <c r="P11" s="2561"/>
      <c r="Q11" s="2561"/>
      <c r="R11" s="2561"/>
      <c r="S11" s="2561"/>
      <c r="T11" s="2561"/>
      <c r="U11" s="1206"/>
      <c r="V11" s="1206"/>
      <c r="W11" s="1206"/>
      <c r="X11" s="1255"/>
      <c r="Y11" s="1255"/>
      <c r="Z11" s="1255"/>
      <c r="AA11" s="1255"/>
      <c r="AB11" s="1255"/>
      <c r="AC11" s="1255"/>
      <c r="AD11" s="1255"/>
      <c r="AE11" s="1255"/>
      <c r="AF11" s="2233" t="s">
        <v>2621</v>
      </c>
      <c r="AG11" s="2233"/>
      <c r="AH11" s="2233"/>
      <c r="AI11" s="2233"/>
      <c r="AJ11" s="2233"/>
      <c r="AK11" s="2233"/>
      <c r="AL11" s="2233"/>
      <c r="AM11" s="2233"/>
      <c r="AN11" s="2233"/>
      <c r="AO11" s="2233"/>
      <c r="AP11" s="2234"/>
      <c r="AQ11" s="2235"/>
      <c r="AR11" s="2235"/>
      <c r="AS11" s="2235"/>
      <c r="AT11" s="2235"/>
      <c r="AU11" s="2235"/>
      <c r="AV11" s="1255"/>
      <c r="AW11" s="1255"/>
      <c r="AX11" s="1206"/>
      <c r="AY11" s="1206"/>
      <c r="AZ11" s="1206"/>
      <c r="BA11" s="1206"/>
      <c r="BB11" s="1206"/>
      <c r="BC11" s="1206"/>
      <c r="BD11" s="1206"/>
      <c r="BE11" s="1216"/>
      <c r="BM11" s="1197" t="s">
        <v>2417</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2471</v>
      </c>
    </row>
    <row r="13" spans="1:65" thickBot="1">
      <c r="A13" s="1206"/>
      <c r="B13" s="2568" t="s">
        <v>1794</v>
      </c>
      <c r="C13" s="2569"/>
      <c r="D13" s="2569"/>
      <c r="E13" s="2569"/>
      <c r="F13" s="2569"/>
      <c r="G13" s="2569"/>
      <c r="H13" s="2569"/>
      <c r="I13" s="2569"/>
      <c r="J13" s="2569"/>
      <c r="K13" s="2569"/>
      <c r="L13" s="2569"/>
      <c r="M13" s="2569"/>
      <c r="N13" s="2569"/>
      <c r="O13" s="2569"/>
      <c r="P13" s="2570"/>
      <c r="Q13" s="2571" t="s">
        <v>554</v>
      </c>
      <c r="R13" s="2572"/>
      <c r="S13" s="2572"/>
      <c r="T13" s="2573"/>
      <c r="U13" s="1255"/>
      <c r="V13" s="1206"/>
      <c r="W13" s="1206"/>
      <c r="X13" s="1206"/>
      <c r="Y13" s="1206"/>
      <c r="Z13" s="1206"/>
      <c r="AA13" s="2562" t="s">
        <v>2467</v>
      </c>
      <c r="AB13" s="2562"/>
      <c r="AC13" s="2562"/>
      <c r="AD13" s="2562"/>
      <c r="AE13" s="2562"/>
      <c r="AF13" s="2562"/>
      <c r="AG13" s="2562"/>
      <c r="AH13" s="2562"/>
      <c r="AI13" s="2562"/>
      <c r="AJ13" s="2562"/>
      <c r="AK13" s="2562"/>
      <c r="AL13" s="2562"/>
      <c r="AM13" s="2562"/>
      <c r="AN13" s="2562"/>
      <c r="AO13" s="2563">
        <f>Application!W473</f>
        <v>23</v>
      </c>
      <c r="AP13" s="2564"/>
      <c r="AQ13" s="2564"/>
      <c r="AR13" s="2564"/>
      <c r="AS13" s="2564"/>
      <c r="AT13" s="1255"/>
      <c r="AU13" s="1255"/>
      <c r="AV13" s="1255"/>
      <c r="AW13" s="1255"/>
      <c r="AX13" s="1255"/>
      <c r="AY13" s="1255"/>
      <c r="AZ13" s="1255"/>
      <c r="BA13" s="1255"/>
      <c r="BB13" s="1255"/>
      <c r="BC13" s="1255"/>
      <c r="BD13" s="1255"/>
      <c r="BE13" s="1202"/>
      <c r="BM13" s="1197" t="s">
        <v>2472</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65" t="s">
        <v>2469</v>
      </c>
      <c r="AB14" s="2565"/>
      <c r="AC14" s="2565"/>
      <c r="AD14" s="2565"/>
      <c r="AE14" s="2565"/>
      <c r="AF14" s="2565"/>
      <c r="AG14" s="2565"/>
      <c r="AH14" s="2565"/>
      <c r="AI14" s="2565"/>
      <c r="AJ14" s="2565"/>
      <c r="AK14" s="2565"/>
      <c r="AL14" s="2565"/>
      <c r="AM14" s="2565"/>
      <c r="AN14" s="2565"/>
      <c r="AO14" s="2566"/>
      <c r="AP14" s="2567"/>
      <c r="AQ14" s="2567"/>
      <c r="AR14" s="2567"/>
      <c r="AS14" s="2567"/>
      <c r="AT14" s="1255"/>
      <c r="AU14" s="1255"/>
      <c r="AV14" s="1255"/>
      <c r="AW14" s="1255"/>
      <c r="AX14" s="1255"/>
      <c r="AY14" s="1255"/>
      <c r="AZ14" s="1255"/>
      <c r="BA14" s="1255"/>
      <c r="BB14" s="1255"/>
      <c r="BC14" s="1255"/>
      <c r="BD14" s="1255"/>
      <c r="BE14" s="1202"/>
    </row>
    <row r="15" spans="1:65" thickBot="1">
      <c r="A15" s="1206"/>
      <c r="B15" s="2574" t="s">
        <v>1795</v>
      </c>
      <c r="C15" s="2575"/>
      <c r="D15" s="2575"/>
      <c r="E15" s="2575"/>
      <c r="F15" s="2575"/>
      <c r="G15" s="2575"/>
      <c r="H15" s="2575"/>
      <c r="I15" s="2575"/>
      <c r="J15" s="2575"/>
      <c r="K15" s="2575"/>
      <c r="L15" s="2575"/>
      <c r="M15" s="2575"/>
      <c r="N15" s="2575"/>
      <c r="O15" s="2575"/>
      <c r="P15" s="2575"/>
      <c r="Q15" s="2575"/>
      <c r="R15" s="2576"/>
      <c r="S15" s="2577" t="str">
        <f>IF(Application!AB214="","",Application!AB214)</f>
        <v/>
      </c>
      <c r="T15" s="2577"/>
      <c r="U15" s="2577"/>
      <c r="V15" s="2577"/>
      <c r="W15" s="2578"/>
      <c r="X15" s="1255"/>
      <c r="Y15" s="1206"/>
      <c r="Z15" s="1206"/>
      <c r="AA15" s="2562" t="s">
        <v>2470</v>
      </c>
      <c r="AB15" s="2562"/>
      <c r="AC15" s="2562"/>
      <c r="AD15" s="2562"/>
      <c r="AE15" s="2562"/>
      <c r="AF15" s="2562"/>
      <c r="AG15" s="2562"/>
      <c r="AH15" s="2562"/>
      <c r="AI15" s="2562"/>
      <c r="AJ15" s="2562"/>
      <c r="AK15" s="2562"/>
      <c r="AL15" s="2562"/>
      <c r="AM15" s="2562"/>
      <c r="AN15" s="2562"/>
      <c r="AO15" s="2566"/>
      <c r="AP15" s="2567"/>
      <c r="AQ15" s="2567"/>
      <c r="AR15" s="2567"/>
      <c r="AS15" s="2567"/>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442" t="s">
        <v>1796</v>
      </c>
      <c r="C17" s="2443"/>
      <c r="D17" s="2443"/>
      <c r="E17" s="2443"/>
      <c r="F17" s="2443"/>
      <c r="G17" s="2443"/>
      <c r="H17" s="2443"/>
      <c r="I17" s="2443"/>
      <c r="J17" s="2443"/>
      <c r="K17" s="2443"/>
      <c r="L17" s="2443"/>
      <c r="M17" s="2443"/>
      <c r="N17" s="2443"/>
      <c r="O17" s="2443"/>
      <c r="P17" s="2443"/>
      <c r="Q17" s="2443"/>
      <c r="R17" s="2443"/>
      <c r="S17" s="2443"/>
      <c r="T17" s="2443"/>
      <c r="U17" s="2443"/>
      <c r="V17" s="2443"/>
      <c r="W17" s="2443"/>
      <c r="X17" s="2443"/>
      <c r="Y17" s="2443"/>
      <c r="Z17" s="2443"/>
      <c r="AA17" s="2443"/>
      <c r="AB17" s="2443"/>
      <c r="AC17" s="2443"/>
      <c r="AD17" s="2443"/>
      <c r="AE17" s="2443"/>
      <c r="AF17" s="2443"/>
      <c r="AG17" s="2443"/>
      <c r="AH17" s="2443"/>
      <c r="AI17" s="2443"/>
      <c r="AJ17" s="2443"/>
      <c r="AK17" s="2443"/>
      <c r="AL17" s="2443"/>
      <c r="AM17" s="2443"/>
      <c r="AN17" s="2443"/>
      <c r="AO17" s="2443"/>
      <c r="AP17" s="2443"/>
      <c r="AQ17" s="2443"/>
      <c r="AR17" s="2443"/>
      <c r="AS17" s="2443"/>
      <c r="AT17" s="2443"/>
      <c r="AU17" s="2443"/>
      <c r="AV17" s="2443"/>
      <c r="AW17" s="2443"/>
      <c r="AX17" s="2443"/>
      <c r="AY17" s="2444"/>
      <c r="AZ17" s="1206"/>
      <c r="BA17" s="1206"/>
      <c r="BB17" s="1206"/>
      <c r="BC17" s="1206"/>
      <c r="BD17" s="1206"/>
      <c r="BE17" s="1202"/>
      <c r="BF17" s="1198"/>
    </row>
    <row r="18" spans="1:58" ht="15.75" customHeight="1">
      <c r="A18" s="1206"/>
      <c r="B18" s="2554" t="s">
        <v>1797</v>
      </c>
      <c r="C18" s="2555"/>
      <c r="D18" s="2555"/>
      <c r="E18" s="2555"/>
      <c r="F18" s="2555"/>
      <c r="G18" s="2555"/>
      <c r="H18" s="2555"/>
      <c r="I18" s="2556"/>
      <c r="J18" s="2557" t="s">
        <v>1698</v>
      </c>
      <c r="K18" s="2558"/>
      <c r="L18" s="2558"/>
      <c r="M18" s="2558"/>
      <c r="N18" s="2558"/>
      <c r="O18" s="2559"/>
      <c r="P18" s="2557" t="s">
        <v>325</v>
      </c>
      <c r="Q18" s="2558"/>
      <c r="R18" s="2558"/>
      <c r="S18" s="2558"/>
      <c r="T18" s="2558"/>
      <c r="U18" s="2559"/>
      <c r="V18" s="2557" t="s">
        <v>326</v>
      </c>
      <c r="W18" s="2558"/>
      <c r="X18" s="2558"/>
      <c r="Y18" s="2558"/>
      <c r="Z18" s="2558"/>
      <c r="AA18" s="2559"/>
      <c r="AB18" s="2557" t="s">
        <v>163</v>
      </c>
      <c r="AC18" s="2558"/>
      <c r="AD18" s="2558"/>
      <c r="AE18" s="2558"/>
      <c r="AF18" s="2558"/>
      <c r="AG18" s="2559"/>
      <c r="AH18" s="2557" t="s">
        <v>164</v>
      </c>
      <c r="AI18" s="2558"/>
      <c r="AJ18" s="2558"/>
      <c r="AK18" s="2558"/>
      <c r="AL18" s="2558"/>
      <c r="AM18" s="2559"/>
      <c r="AN18" s="2557" t="s">
        <v>165</v>
      </c>
      <c r="AO18" s="2558"/>
      <c r="AP18" s="2558"/>
      <c r="AQ18" s="2558"/>
      <c r="AR18" s="2558"/>
      <c r="AS18" s="2559"/>
      <c r="AT18" s="2557" t="s">
        <v>1798</v>
      </c>
      <c r="AU18" s="2558"/>
      <c r="AV18" s="2558"/>
      <c r="AW18" s="2558"/>
      <c r="AX18" s="2558"/>
      <c r="AY18" s="2560"/>
      <c r="AZ18" s="1206"/>
      <c r="BA18" s="1206"/>
      <c r="BB18" s="1206"/>
      <c r="BC18" s="1206"/>
      <c r="BD18" s="1206"/>
      <c r="BE18" s="1202"/>
    </row>
    <row r="19" spans="1:58" ht="15">
      <c r="A19" s="1206"/>
      <c r="B19" s="2531">
        <v>0.3</v>
      </c>
      <c r="C19" s="2532"/>
      <c r="D19" s="2532"/>
      <c r="E19" s="2532"/>
      <c r="F19" s="2532"/>
      <c r="G19" s="2532"/>
      <c r="H19" s="2532"/>
      <c r="I19" s="2533"/>
      <c r="J19" s="2534">
        <f t="shared" ref="J19:J28" si="0">SUM(P19:AS19)</f>
        <v>38</v>
      </c>
      <c r="K19" s="2535"/>
      <c r="L19" s="2535"/>
      <c r="M19" s="2535"/>
      <c r="N19" s="2535"/>
      <c r="O19" s="2536"/>
      <c r="P19" s="2534" cm="1">
        <f t="array" ref="P19">SUMPRODUCT((Application!$B$718:$B$752 = 'CalHFA Addendum'!P$18)*(Application!$AC$718:$AC$752 = 'CalHFA Addendum'!$B19),Application!$G$718:$G$752)</f>
        <v>9</v>
      </c>
      <c r="Q19" s="2535"/>
      <c r="R19" s="2535"/>
      <c r="S19" s="2535"/>
      <c r="T19" s="2535"/>
      <c r="U19" s="2536"/>
      <c r="V19" s="2534" cm="1">
        <f t="array" ref="V19">SUMPRODUCT((Application!$B$714:$B$738 = 'CalHFA Addendum'!V$18)*(Application!$AC$714:$AC$738 = 'CalHFA Addendum'!$B19),Application!$G$714:$G$738)</f>
        <v>14</v>
      </c>
      <c r="W19" s="2535"/>
      <c r="X19" s="2535"/>
      <c r="Y19" s="2535"/>
      <c r="Z19" s="2535"/>
      <c r="AA19" s="2536"/>
      <c r="AB19" s="2534" cm="1">
        <f t="array" ref="AB19">SUMPRODUCT((Application!$B$714:$B$738 = 'CalHFA Addendum'!AB$18)*(Application!$AC$714:$AC$738 = 'CalHFA Addendum'!$B19),Application!$G$714:$G$738)</f>
        <v>10</v>
      </c>
      <c r="AC19" s="2535"/>
      <c r="AD19" s="2535"/>
      <c r="AE19" s="2535"/>
      <c r="AF19" s="2535"/>
      <c r="AG19" s="2536"/>
      <c r="AH19" s="2534" cm="1">
        <f t="array" ref="AH19">SUMPRODUCT((Application!$B$714:$B$738 = 'CalHFA Addendum'!AH$18)*(Application!$AC$714:$AC$738 = 'CalHFA Addendum'!$B19),Application!$G$714:$G$738)</f>
        <v>5</v>
      </c>
      <c r="AI19" s="2535"/>
      <c r="AJ19" s="2535"/>
      <c r="AK19" s="2535"/>
      <c r="AL19" s="2535"/>
      <c r="AM19" s="2536"/>
      <c r="AN19" s="2534" cm="1">
        <f t="array" ref="AN19">SUMPRODUCT((Application!$B$714:$B$738 = 'CalHFA Addendum'!AN$18)*(Application!$AC$714:$AC$738 = 'CalHFA Addendum'!$B19),Application!$G$714:$G$738)</f>
        <v>0</v>
      </c>
      <c r="AO19" s="2535"/>
      <c r="AP19" s="2535"/>
      <c r="AQ19" s="2535"/>
      <c r="AR19" s="2535"/>
      <c r="AS19" s="2536"/>
      <c r="AT19" s="2537">
        <f t="shared" ref="AT19:AT29" si="1">J19/$J$29</f>
        <v>0.2620689655172414</v>
      </c>
      <c r="AU19" s="2538"/>
      <c r="AV19" s="2538"/>
      <c r="AW19" s="2538"/>
      <c r="AX19" s="2538"/>
      <c r="AY19" s="2539"/>
      <c r="AZ19" s="1217"/>
      <c r="BA19" s="1206"/>
      <c r="BB19" s="1206"/>
      <c r="BC19" s="1206"/>
      <c r="BD19" s="1206"/>
      <c r="BE19" s="1202"/>
    </row>
    <row r="20" spans="1:58" ht="15" customHeight="1">
      <c r="A20" s="1206"/>
      <c r="B20" s="2531">
        <v>0.4</v>
      </c>
      <c r="C20" s="2532"/>
      <c r="D20" s="2532"/>
      <c r="E20" s="2532"/>
      <c r="F20" s="2532"/>
      <c r="G20" s="2532"/>
      <c r="H20" s="2532"/>
      <c r="I20" s="2533"/>
      <c r="J20" s="2534">
        <f t="shared" si="0"/>
        <v>25</v>
      </c>
      <c r="K20" s="2535"/>
      <c r="L20" s="2535"/>
      <c r="M20" s="2535"/>
      <c r="N20" s="2535"/>
      <c r="O20" s="2536"/>
      <c r="P20" s="2534" cm="1">
        <f t="array" ref="P20">SUMPRODUCT((Application!$B$718:$B$752 = 'CalHFA Addendum'!P$18)*(Application!$AC$718:$AC$752 = 'CalHFA Addendum'!$B20),Application!$G$718:$G$752)</f>
        <v>0</v>
      </c>
      <c r="Q20" s="2535"/>
      <c r="R20" s="2535"/>
      <c r="S20" s="2535"/>
      <c r="T20" s="2535"/>
      <c r="U20" s="2536"/>
      <c r="V20" s="2534" cm="1">
        <f t="array" ref="V20">SUMPRODUCT((Application!$B$714:$B$738 = 'CalHFA Addendum'!V$18)*(Application!$AC$714:$AC$738 = 'CalHFA Addendum'!$B20),Application!$G$714:$G$738)</f>
        <v>4</v>
      </c>
      <c r="W20" s="2535"/>
      <c r="X20" s="2535"/>
      <c r="Y20" s="2535"/>
      <c r="Z20" s="2535"/>
      <c r="AA20" s="2536"/>
      <c r="AB20" s="2534" cm="1">
        <f t="array" ref="AB20">SUMPRODUCT((Application!$B$714:$B$738 = 'CalHFA Addendum'!AB$18)*(Application!$AC$714:$AC$738 = 'CalHFA Addendum'!$B20),Application!$G$714:$G$738)</f>
        <v>14</v>
      </c>
      <c r="AC20" s="2535"/>
      <c r="AD20" s="2535"/>
      <c r="AE20" s="2535"/>
      <c r="AF20" s="2535"/>
      <c r="AG20" s="2536"/>
      <c r="AH20" s="2534" cm="1">
        <f t="array" ref="AH20">SUMPRODUCT((Application!$B$714:$B$738 = 'CalHFA Addendum'!AH$18)*(Application!$AC$714:$AC$738 = 'CalHFA Addendum'!$B20),Application!$G$714:$G$738)</f>
        <v>7</v>
      </c>
      <c r="AI20" s="2535"/>
      <c r="AJ20" s="2535"/>
      <c r="AK20" s="2535"/>
      <c r="AL20" s="2535"/>
      <c r="AM20" s="2536"/>
      <c r="AN20" s="2534" cm="1">
        <f t="array" ref="AN20">SUMPRODUCT((Application!$B$714:$B$738 = 'CalHFA Addendum'!AN$18)*(Application!$AC$714:$AC$738 = 'CalHFA Addendum'!$B20),Application!$G$714:$G$738)</f>
        <v>0</v>
      </c>
      <c r="AO20" s="2535"/>
      <c r="AP20" s="2535"/>
      <c r="AQ20" s="2535"/>
      <c r="AR20" s="2535"/>
      <c r="AS20" s="2536"/>
      <c r="AT20" s="2537">
        <f t="shared" si="1"/>
        <v>0.17241379310344829</v>
      </c>
      <c r="AU20" s="2538"/>
      <c r="AV20" s="2538"/>
      <c r="AW20" s="2538"/>
      <c r="AX20" s="2538"/>
      <c r="AY20" s="2539"/>
      <c r="AZ20" s="1206"/>
      <c r="BA20" s="1206"/>
      <c r="BB20" s="1206"/>
      <c r="BC20" s="1206"/>
      <c r="BD20" s="1206"/>
      <c r="BE20" s="1202"/>
    </row>
    <row r="21" spans="1:58" ht="15">
      <c r="A21" s="1206"/>
      <c r="B21" s="2531">
        <v>0.5</v>
      </c>
      <c r="C21" s="2532"/>
      <c r="D21" s="2532"/>
      <c r="E21" s="2532"/>
      <c r="F21" s="2532"/>
      <c r="G21" s="2532"/>
      <c r="H21" s="2532"/>
      <c r="I21" s="2533"/>
      <c r="J21" s="2534">
        <f t="shared" si="0"/>
        <v>35</v>
      </c>
      <c r="K21" s="2535"/>
      <c r="L21" s="2535"/>
      <c r="M21" s="2535"/>
      <c r="N21" s="2535"/>
      <c r="O21" s="2536"/>
      <c r="P21" s="2534" cm="1">
        <f t="array" ref="P21">SUMPRODUCT((Application!$B$714:$B$738 = 'CalHFA Addendum'!P$18)*(Application!$AC$714:$AC$738 = 'CalHFA Addendum'!$B21),Application!$G$714:$G$738)</f>
        <v>15</v>
      </c>
      <c r="Q21" s="2535"/>
      <c r="R21" s="2535"/>
      <c r="S21" s="2535"/>
      <c r="T21" s="2535"/>
      <c r="U21" s="2536"/>
      <c r="V21" s="2534" cm="1">
        <f t="array" ref="V21">SUMPRODUCT((Application!$B$714:$B$738 = 'CalHFA Addendum'!V$18)*(Application!$AC$714:$AC$738 = 'CalHFA Addendum'!$B21),Application!$G$714:$G$738)</f>
        <v>12</v>
      </c>
      <c r="W21" s="2535"/>
      <c r="X21" s="2535"/>
      <c r="Y21" s="2535"/>
      <c r="Z21" s="2535"/>
      <c r="AA21" s="2536"/>
      <c r="AB21" s="2534" cm="1">
        <f t="array" ref="AB21">SUMPRODUCT((Application!$B$714:$B$738 = 'CalHFA Addendum'!AB$18)*(Application!$AC$714:$AC$738 = 'CalHFA Addendum'!$B21),Application!$G$714:$G$738)</f>
        <v>4</v>
      </c>
      <c r="AC21" s="2535"/>
      <c r="AD21" s="2535"/>
      <c r="AE21" s="2535"/>
      <c r="AF21" s="2535"/>
      <c r="AG21" s="2536"/>
      <c r="AH21" s="2534" cm="1">
        <f t="array" ref="AH21">SUMPRODUCT((Application!$B$714:$B$738 = 'CalHFA Addendum'!AH$18)*(Application!$AC$714:$AC$738 = 'CalHFA Addendum'!$B21),Application!$G$714:$G$738)</f>
        <v>4</v>
      </c>
      <c r="AI21" s="2535"/>
      <c r="AJ21" s="2535"/>
      <c r="AK21" s="2535"/>
      <c r="AL21" s="2535"/>
      <c r="AM21" s="2536"/>
      <c r="AN21" s="2534" cm="1">
        <f t="array" ref="AN21">SUMPRODUCT((Application!$B$714:$B$738 = 'CalHFA Addendum'!AN$18)*(Application!$AC$714:$AC$738 = 'CalHFA Addendum'!$B21),Application!$G$714:$G$738)</f>
        <v>0</v>
      </c>
      <c r="AO21" s="2535"/>
      <c r="AP21" s="2535"/>
      <c r="AQ21" s="2535"/>
      <c r="AR21" s="2535"/>
      <c r="AS21" s="2536"/>
      <c r="AT21" s="2537">
        <f t="shared" si="1"/>
        <v>0.2413793103448276</v>
      </c>
      <c r="AU21" s="2538"/>
      <c r="AV21" s="2538"/>
      <c r="AW21" s="2538"/>
      <c r="AX21" s="2538"/>
      <c r="AY21" s="2539"/>
      <c r="AZ21" s="1206"/>
      <c r="BA21" s="1206"/>
      <c r="BB21" s="1206"/>
      <c r="BC21" s="1206"/>
      <c r="BD21" s="1206"/>
      <c r="BE21" s="1202"/>
    </row>
    <row r="22" spans="1:58" ht="15">
      <c r="A22" s="1206"/>
      <c r="B22" s="2531">
        <v>0.6</v>
      </c>
      <c r="C22" s="2532"/>
      <c r="D22" s="2532"/>
      <c r="E22" s="2532"/>
      <c r="F22" s="2532"/>
      <c r="G22" s="2532"/>
      <c r="H22" s="2532"/>
      <c r="I22" s="2533"/>
      <c r="J22" s="2534">
        <f t="shared" si="0"/>
        <v>20</v>
      </c>
      <c r="K22" s="2535"/>
      <c r="L22" s="2535"/>
      <c r="M22" s="2535"/>
      <c r="N22" s="2535"/>
      <c r="O22" s="2536"/>
      <c r="P22" s="2534" cm="1">
        <f t="array" ref="P22">SUMPRODUCT((Application!$B$714:$B$738 = 'CalHFA Addendum'!P$18)*(Application!$AC$714:$AC$738 = 'CalHFA Addendum'!$B22),Application!$G$714:$G$738)</f>
        <v>0</v>
      </c>
      <c r="Q22" s="2535"/>
      <c r="R22" s="2535"/>
      <c r="S22" s="2535"/>
      <c r="T22" s="2535"/>
      <c r="U22" s="2536"/>
      <c r="V22" s="2534" cm="1">
        <f t="array" ref="V22">SUMPRODUCT((Application!$B$714:$B$738 = 'CalHFA Addendum'!V$18)*(Application!$AC$714:$AC$738 = 'CalHFA Addendum'!$B22),Application!$G$714:$G$738)</f>
        <v>0</v>
      </c>
      <c r="W22" s="2535"/>
      <c r="X22" s="2535"/>
      <c r="Y22" s="2535"/>
      <c r="Z22" s="2535"/>
      <c r="AA22" s="2536"/>
      <c r="AB22" s="2534" cm="1">
        <f t="array" ref="AB22">SUMPRODUCT((Application!$B$714:$B$738 = 'CalHFA Addendum'!AB$18)*(Application!$AC$714:$AC$738 = 'CalHFA Addendum'!$B22),Application!$G$714:$G$738)</f>
        <v>4</v>
      </c>
      <c r="AC22" s="2535"/>
      <c r="AD22" s="2535"/>
      <c r="AE22" s="2535"/>
      <c r="AF22" s="2535"/>
      <c r="AG22" s="2536"/>
      <c r="AH22" s="2534" cm="1">
        <f t="array" ref="AH22">SUMPRODUCT((Application!$B$714:$B$738 = 'CalHFA Addendum'!AH$18)*(Application!$AC$714:$AC$738 = 'CalHFA Addendum'!$B22),Application!$G$714:$G$738)</f>
        <v>16</v>
      </c>
      <c r="AI22" s="2535"/>
      <c r="AJ22" s="2535"/>
      <c r="AK22" s="2535"/>
      <c r="AL22" s="2535"/>
      <c r="AM22" s="2536"/>
      <c r="AN22" s="2534" cm="1">
        <f t="array" ref="AN22">SUMPRODUCT((Application!$B$714:$B$738 = 'CalHFA Addendum'!AN$18)*(Application!$AC$714:$AC$738 = 'CalHFA Addendum'!$B22),Application!$G$714:$G$738)</f>
        <v>0</v>
      </c>
      <c r="AO22" s="2535"/>
      <c r="AP22" s="2535"/>
      <c r="AQ22" s="2535"/>
      <c r="AR22" s="2535"/>
      <c r="AS22" s="2536"/>
      <c r="AT22" s="2537">
        <f t="shared" si="1"/>
        <v>0.13793103448275862</v>
      </c>
      <c r="AU22" s="2538"/>
      <c r="AV22" s="2538"/>
      <c r="AW22" s="2538"/>
      <c r="AX22" s="2538"/>
      <c r="AY22" s="2539"/>
      <c r="AZ22" s="1206"/>
      <c r="BA22" s="1206"/>
      <c r="BB22" s="1206"/>
      <c r="BC22" s="1206"/>
      <c r="BD22" s="1206"/>
      <c r="BE22" s="1202"/>
    </row>
    <row r="23" spans="1:58" ht="15">
      <c r="A23" s="1206"/>
      <c r="B23" s="2531">
        <v>0.7</v>
      </c>
      <c r="C23" s="2532"/>
      <c r="D23" s="2532"/>
      <c r="E23" s="2532"/>
      <c r="F23" s="2532"/>
      <c r="G23" s="2532"/>
      <c r="H23" s="2532"/>
      <c r="I23" s="2533"/>
      <c r="J23" s="2534">
        <f t="shared" si="0"/>
        <v>0</v>
      </c>
      <c r="K23" s="2535"/>
      <c r="L23" s="2535"/>
      <c r="M23" s="2535"/>
      <c r="N23" s="2535"/>
      <c r="O23" s="2536"/>
      <c r="P23" s="2534" cm="1">
        <f t="array" ref="P23">SUMPRODUCT((Application!$B$714:$B$738 = 'CalHFA Addendum'!P$18)*(Application!$AC$714:$AC$738 = 'CalHFA Addendum'!$B23),Application!$G$714:$G$738)</f>
        <v>0</v>
      </c>
      <c r="Q23" s="2535"/>
      <c r="R23" s="2535"/>
      <c r="S23" s="2535"/>
      <c r="T23" s="2535"/>
      <c r="U23" s="2536"/>
      <c r="V23" s="2534" cm="1">
        <f t="array" ref="V23">SUMPRODUCT((Application!$B$714:$B$738 = 'CalHFA Addendum'!V$18)*(Application!$AC$714:$AC$738 = 'CalHFA Addendum'!$B23),Application!$G$714:$G$738)</f>
        <v>0</v>
      </c>
      <c r="W23" s="2535"/>
      <c r="X23" s="2535"/>
      <c r="Y23" s="2535"/>
      <c r="Z23" s="2535"/>
      <c r="AA23" s="2536"/>
      <c r="AB23" s="2534" cm="1">
        <f t="array" ref="AB23">SUMPRODUCT((Application!$B$714:$B$738 = 'CalHFA Addendum'!AB$18)*(Application!$AC$714:$AC$738 = 'CalHFA Addendum'!$B23),Application!$G$714:$G$738)</f>
        <v>0</v>
      </c>
      <c r="AC23" s="2535"/>
      <c r="AD23" s="2535"/>
      <c r="AE23" s="2535"/>
      <c r="AF23" s="2535"/>
      <c r="AG23" s="2536"/>
      <c r="AH23" s="2534" cm="1">
        <f t="array" ref="AH23">SUMPRODUCT((Application!$B$714:$B$738 = 'CalHFA Addendum'!AH$18)*(Application!$AC$714:$AC$738 = 'CalHFA Addendum'!$B23),Application!$G$714:$G$738)</f>
        <v>0</v>
      </c>
      <c r="AI23" s="2535"/>
      <c r="AJ23" s="2535"/>
      <c r="AK23" s="2535"/>
      <c r="AL23" s="2535"/>
      <c r="AM23" s="2536"/>
      <c r="AN23" s="2534" cm="1">
        <f t="array" ref="AN23">SUMPRODUCT((Application!$B$714:$B$738 = 'CalHFA Addendum'!AN$18)*(Application!$AC$714:$AC$738 = 'CalHFA Addendum'!$B23),Application!$G$714:$G$738)</f>
        <v>0</v>
      </c>
      <c r="AO23" s="2535"/>
      <c r="AP23" s="2535"/>
      <c r="AQ23" s="2535"/>
      <c r="AR23" s="2535"/>
      <c r="AS23" s="2536"/>
      <c r="AT23" s="2537">
        <f t="shared" si="1"/>
        <v>0</v>
      </c>
      <c r="AU23" s="2538"/>
      <c r="AV23" s="2538"/>
      <c r="AW23" s="2538"/>
      <c r="AX23" s="2538"/>
      <c r="AY23" s="2539"/>
      <c r="AZ23" s="1206"/>
      <c r="BA23" s="1206"/>
      <c r="BB23" s="1206"/>
      <c r="BC23" s="1206"/>
      <c r="BD23" s="1206"/>
      <c r="BE23" s="1202"/>
    </row>
    <row r="24" spans="1:58" ht="15">
      <c r="A24" s="1206"/>
      <c r="B24" s="2531">
        <v>0.8</v>
      </c>
      <c r="C24" s="2532"/>
      <c r="D24" s="2532"/>
      <c r="E24" s="2532"/>
      <c r="F24" s="2532"/>
      <c r="G24" s="2532"/>
      <c r="H24" s="2532"/>
      <c r="I24" s="2533"/>
      <c r="J24" s="2534">
        <f t="shared" si="0"/>
        <v>27</v>
      </c>
      <c r="K24" s="2535"/>
      <c r="L24" s="2535"/>
      <c r="M24" s="2535"/>
      <c r="N24" s="2535"/>
      <c r="O24" s="2536"/>
      <c r="P24" s="2534" cm="1">
        <f t="array" ref="P24">SUMPRODUCT((Application!$B$714:$B$738 = 'CalHFA Addendum'!P$18)*(Application!$AC$714:$AC$738 = 'CalHFA Addendum'!$B24),Application!$G$714:$G$738)</f>
        <v>0</v>
      </c>
      <c r="Q24" s="2535"/>
      <c r="R24" s="2535"/>
      <c r="S24" s="2535"/>
      <c r="T24" s="2535"/>
      <c r="U24" s="2536"/>
      <c r="V24" s="2534" cm="1">
        <f t="array" ref="V24">SUMPRODUCT((Application!$B$714:$B$738 = 'CalHFA Addendum'!V$18)*(Application!$AC$714:$AC$738 = 'CalHFA Addendum'!$B24),Application!$G$714:$G$738)</f>
        <v>8</v>
      </c>
      <c r="W24" s="2535"/>
      <c r="X24" s="2535"/>
      <c r="Y24" s="2535"/>
      <c r="Z24" s="2535"/>
      <c r="AA24" s="2536"/>
      <c r="AB24" s="2534" cm="1">
        <f t="array" ref="AB24">SUMPRODUCT((Application!$B$714:$B$738 = 'CalHFA Addendum'!AB$18)*(Application!$AC$714:$AC$738 = 'CalHFA Addendum'!$B24),Application!$G$714:$G$738)</f>
        <v>10</v>
      </c>
      <c r="AC24" s="2535"/>
      <c r="AD24" s="2535"/>
      <c r="AE24" s="2535"/>
      <c r="AF24" s="2535"/>
      <c r="AG24" s="2536"/>
      <c r="AH24" s="2534" cm="1">
        <f t="array" ref="AH24">SUMPRODUCT((Application!$B$714:$B$738 = 'CalHFA Addendum'!AH$18)*(Application!$AC$714:$AC$738 = 'CalHFA Addendum'!$B24),Application!$G$714:$G$738)</f>
        <v>9</v>
      </c>
      <c r="AI24" s="2535"/>
      <c r="AJ24" s="2535"/>
      <c r="AK24" s="2535"/>
      <c r="AL24" s="2535"/>
      <c r="AM24" s="2536"/>
      <c r="AN24" s="2534" cm="1">
        <f t="array" ref="AN24">SUMPRODUCT((Application!$B$714:$B$738 = 'CalHFA Addendum'!AN$18)*(Application!$AC$714:$AC$738 = 'CalHFA Addendum'!$B24),Application!$G$714:$G$738)</f>
        <v>0</v>
      </c>
      <c r="AO24" s="2535"/>
      <c r="AP24" s="2535"/>
      <c r="AQ24" s="2535"/>
      <c r="AR24" s="2535"/>
      <c r="AS24" s="2536"/>
      <c r="AT24" s="2537">
        <f t="shared" si="1"/>
        <v>0.18620689655172415</v>
      </c>
      <c r="AU24" s="2538"/>
      <c r="AV24" s="2538"/>
      <c r="AW24" s="2538"/>
      <c r="AX24" s="2538"/>
      <c r="AY24" s="2539"/>
      <c r="AZ24" s="1206"/>
      <c r="BA24" s="1206"/>
      <c r="BB24" s="1206"/>
      <c r="BC24" s="1206"/>
      <c r="BD24" s="1206"/>
      <c r="BE24" s="1202"/>
    </row>
    <row r="25" spans="1:58" ht="15">
      <c r="A25" s="1206"/>
      <c r="B25" s="2531">
        <v>0.9</v>
      </c>
      <c r="C25" s="2532"/>
      <c r="D25" s="2532"/>
      <c r="E25" s="2532"/>
      <c r="F25" s="2532"/>
      <c r="G25" s="2532"/>
      <c r="H25" s="2532"/>
      <c r="I25" s="2533"/>
      <c r="J25" s="2534">
        <f t="shared" si="0"/>
        <v>0</v>
      </c>
      <c r="K25" s="2535"/>
      <c r="L25" s="2535"/>
      <c r="M25" s="2535"/>
      <c r="N25" s="2535"/>
      <c r="O25" s="2536"/>
      <c r="P25" s="2534" cm="1">
        <f t="array" ref="P25">SUMPRODUCT((Application!$B$714:$B$738 = 'CalHFA Addendum'!P$18)*(Application!$AC$714:$AC$738 = 'CalHFA Addendum'!$B25),Application!$G$714:$G$738)</f>
        <v>0</v>
      </c>
      <c r="Q25" s="2535"/>
      <c r="R25" s="2535"/>
      <c r="S25" s="2535"/>
      <c r="T25" s="2535"/>
      <c r="U25" s="2536"/>
      <c r="V25" s="2534" cm="1">
        <f t="array" ref="V25">SUMPRODUCT((Application!$B$714:$B$738 = 'CalHFA Addendum'!V$18)*(Application!$AC$714:$AC$738 = 'CalHFA Addendum'!$B25),Application!$G$714:$G$738)</f>
        <v>0</v>
      </c>
      <c r="W25" s="2535"/>
      <c r="X25" s="2535"/>
      <c r="Y25" s="2535"/>
      <c r="Z25" s="2535"/>
      <c r="AA25" s="2536"/>
      <c r="AB25" s="2534" cm="1">
        <f t="array" ref="AB25">SUMPRODUCT((Application!$B$714:$B$738 = 'CalHFA Addendum'!AB$18)*(Application!$AC$714:$AC$738 = 'CalHFA Addendum'!$B25),Application!$G$714:$G$738)</f>
        <v>0</v>
      </c>
      <c r="AC25" s="2535"/>
      <c r="AD25" s="2535"/>
      <c r="AE25" s="2535"/>
      <c r="AF25" s="2535"/>
      <c r="AG25" s="2536"/>
      <c r="AH25" s="2534" cm="1">
        <f t="array" ref="AH25">SUMPRODUCT((Application!$B$714:$B$738 = 'CalHFA Addendum'!AH$18)*(Application!$AC$714:$AC$738 = 'CalHFA Addendum'!$B25),Application!$G$714:$G$738)</f>
        <v>0</v>
      </c>
      <c r="AI25" s="2535"/>
      <c r="AJ25" s="2535"/>
      <c r="AK25" s="2535"/>
      <c r="AL25" s="2535"/>
      <c r="AM25" s="2536"/>
      <c r="AN25" s="2534" cm="1">
        <f t="array" ref="AN25">SUMPRODUCT((Application!$B$714:$B$738 = 'CalHFA Addendum'!AN$18)*(Application!$AC$714:$AC$738 = 'CalHFA Addendum'!$B25),Application!$G$714:$G$738)</f>
        <v>0</v>
      </c>
      <c r="AO25" s="2535"/>
      <c r="AP25" s="2535"/>
      <c r="AQ25" s="2535"/>
      <c r="AR25" s="2535"/>
      <c r="AS25" s="2536"/>
      <c r="AT25" s="2537">
        <f t="shared" si="1"/>
        <v>0</v>
      </c>
      <c r="AU25" s="2538"/>
      <c r="AV25" s="2538"/>
      <c r="AW25" s="2538"/>
      <c r="AX25" s="2538"/>
      <c r="AY25" s="2539"/>
      <c r="AZ25" s="1206"/>
      <c r="BA25" s="1206"/>
      <c r="BB25" s="1206"/>
      <c r="BC25" s="1206"/>
      <c r="BD25" s="1206"/>
      <c r="BE25" s="1202"/>
    </row>
    <row r="26" spans="1:58" ht="15">
      <c r="A26" s="1206"/>
      <c r="B26" s="2531">
        <v>1</v>
      </c>
      <c r="C26" s="2532"/>
      <c r="D26" s="2532"/>
      <c r="E26" s="2532"/>
      <c r="F26" s="2532"/>
      <c r="G26" s="2532"/>
      <c r="H26" s="2532"/>
      <c r="I26" s="2533"/>
      <c r="J26" s="2534">
        <f t="shared" si="0"/>
        <v>0</v>
      </c>
      <c r="K26" s="2535"/>
      <c r="L26" s="2535"/>
      <c r="M26" s="2535"/>
      <c r="N26" s="2535"/>
      <c r="O26" s="2536"/>
      <c r="P26" s="2534" cm="1">
        <f t="array" ref="P26">SUMPRODUCT((Application!$B$714:$B$738 = 'CalHFA Addendum'!P$18)*(Application!$AC$714:$AC$738 = 'CalHFA Addendum'!$B26),Application!$G$714:$G$738)</f>
        <v>0</v>
      </c>
      <c r="Q26" s="2535"/>
      <c r="R26" s="2535"/>
      <c r="S26" s="2535"/>
      <c r="T26" s="2535"/>
      <c r="U26" s="2536"/>
      <c r="V26" s="2534" cm="1">
        <f t="array" ref="V26">SUMPRODUCT((Application!$B$714:$B$738 = 'CalHFA Addendum'!V$18)*(Application!$AC$714:$AC$738 = 'CalHFA Addendum'!$B26),Application!$G$714:$G$738)</f>
        <v>0</v>
      </c>
      <c r="W26" s="2535"/>
      <c r="X26" s="2535"/>
      <c r="Y26" s="2535"/>
      <c r="Z26" s="2535"/>
      <c r="AA26" s="2536"/>
      <c r="AB26" s="2534" cm="1">
        <f t="array" ref="AB26">SUMPRODUCT((Application!$B$714:$B$738 = 'CalHFA Addendum'!AB$18)*(Application!$AC$714:$AC$738 = 'CalHFA Addendum'!$B26),Application!$G$714:$G$738)</f>
        <v>0</v>
      </c>
      <c r="AC26" s="2535"/>
      <c r="AD26" s="2535"/>
      <c r="AE26" s="2535"/>
      <c r="AF26" s="2535"/>
      <c r="AG26" s="2536"/>
      <c r="AH26" s="2534" cm="1">
        <f t="array" ref="AH26">SUMPRODUCT((Application!$B$714:$B$738 = 'CalHFA Addendum'!AH$18)*(Application!$AC$714:$AC$738 = 'CalHFA Addendum'!$B26),Application!$G$714:$G$738)</f>
        <v>0</v>
      </c>
      <c r="AI26" s="2535"/>
      <c r="AJ26" s="2535"/>
      <c r="AK26" s="2535"/>
      <c r="AL26" s="2535"/>
      <c r="AM26" s="2536"/>
      <c r="AN26" s="2534" cm="1">
        <f t="array" ref="AN26">SUMPRODUCT((Application!$B$714:$B$738 = 'CalHFA Addendum'!AN$18)*(Application!$AC$714:$AC$738 = 'CalHFA Addendum'!$B26),Application!$G$714:$G$738)</f>
        <v>0</v>
      </c>
      <c r="AO26" s="2535"/>
      <c r="AP26" s="2535"/>
      <c r="AQ26" s="2535"/>
      <c r="AR26" s="2535"/>
      <c r="AS26" s="2536"/>
      <c r="AT26" s="2537">
        <f t="shared" si="1"/>
        <v>0</v>
      </c>
      <c r="AU26" s="2538"/>
      <c r="AV26" s="2538"/>
      <c r="AW26" s="2538"/>
      <c r="AX26" s="2538"/>
      <c r="AY26" s="2539"/>
      <c r="AZ26" s="1206"/>
      <c r="BA26" s="1206"/>
      <c r="BB26" s="1206"/>
      <c r="BC26" s="1206"/>
      <c r="BD26" s="1206"/>
      <c r="BE26" s="1202"/>
    </row>
    <row r="27" spans="1:58" ht="15">
      <c r="A27" s="1206"/>
      <c r="B27" s="2531">
        <v>1.1000000000000001</v>
      </c>
      <c r="C27" s="2532"/>
      <c r="D27" s="2532"/>
      <c r="E27" s="2532"/>
      <c r="F27" s="2532"/>
      <c r="G27" s="2532"/>
      <c r="H27" s="2532"/>
      <c r="I27" s="2533"/>
      <c r="J27" s="2534">
        <f t="shared" si="0"/>
        <v>0</v>
      </c>
      <c r="K27" s="2535"/>
      <c r="L27" s="2535"/>
      <c r="M27" s="2535"/>
      <c r="N27" s="2535"/>
      <c r="O27" s="2536"/>
      <c r="P27" s="2534" cm="1">
        <f t="array" ref="P27">SUMPRODUCT((Application!$B$714:$B$738 = 'CalHFA Addendum'!P$18)*(Application!$AC$714:$AC$738 = 'CalHFA Addendum'!$B27),Application!$G$714:$G$738)</f>
        <v>0</v>
      </c>
      <c r="Q27" s="2535"/>
      <c r="R27" s="2535"/>
      <c r="S27" s="2535"/>
      <c r="T27" s="2535"/>
      <c r="U27" s="2536"/>
      <c r="V27" s="2534" cm="1">
        <f t="array" ref="V27">SUMPRODUCT((Application!$B$714:$B$738 = 'CalHFA Addendum'!V$18)*(Application!$AC$714:$AC$738 = 'CalHFA Addendum'!$B27),Application!$G$714:$G$738)</f>
        <v>0</v>
      </c>
      <c r="W27" s="2535"/>
      <c r="X27" s="2535"/>
      <c r="Y27" s="2535"/>
      <c r="Z27" s="2535"/>
      <c r="AA27" s="2536"/>
      <c r="AB27" s="2534" cm="1">
        <f t="array" ref="AB27">SUMPRODUCT((Application!$B$714:$B$738 = 'CalHFA Addendum'!AB$18)*(Application!$AC$714:$AC$738 = 'CalHFA Addendum'!$B27),Application!$G$714:$G$738)</f>
        <v>0</v>
      </c>
      <c r="AC27" s="2535"/>
      <c r="AD27" s="2535"/>
      <c r="AE27" s="2535"/>
      <c r="AF27" s="2535"/>
      <c r="AG27" s="2536"/>
      <c r="AH27" s="2534" cm="1">
        <f t="array" ref="AH27">SUMPRODUCT((Application!$B$714:$B$738 = 'CalHFA Addendum'!AH$18)*(Application!$AC$714:$AC$738 = 'CalHFA Addendum'!$B27),Application!$G$714:$G$738)</f>
        <v>0</v>
      </c>
      <c r="AI27" s="2535"/>
      <c r="AJ27" s="2535"/>
      <c r="AK27" s="2535"/>
      <c r="AL27" s="2535"/>
      <c r="AM27" s="2536"/>
      <c r="AN27" s="2534" cm="1">
        <f t="array" ref="AN27">SUMPRODUCT((Application!$B$714:$B$738 = 'CalHFA Addendum'!AN$18)*(Application!$AC$714:$AC$738 = 'CalHFA Addendum'!$B27),Application!$G$714:$G$738)</f>
        <v>0</v>
      </c>
      <c r="AO27" s="2535"/>
      <c r="AP27" s="2535"/>
      <c r="AQ27" s="2535"/>
      <c r="AR27" s="2535"/>
      <c r="AS27" s="2536"/>
      <c r="AT27" s="2537">
        <f t="shared" si="1"/>
        <v>0</v>
      </c>
      <c r="AU27" s="2538"/>
      <c r="AV27" s="2538"/>
      <c r="AW27" s="2538"/>
      <c r="AX27" s="2538"/>
      <c r="AY27" s="2539"/>
      <c r="AZ27" s="1206"/>
      <c r="BA27" s="1206"/>
      <c r="BB27" s="1206"/>
      <c r="BC27" s="1206"/>
      <c r="BD27" s="1206"/>
      <c r="BE27" s="1202"/>
    </row>
    <row r="28" spans="1:58" thickBot="1">
      <c r="A28" s="1206"/>
      <c r="B28" s="2540" t="s">
        <v>1799</v>
      </c>
      <c r="C28" s="2541"/>
      <c r="D28" s="2541"/>
      <c r="E28" s="2541"/>
      <c r="F28" s="2541"/>
      <c r="G28" s="2541"/>
      <c r="H28" s="2541"/>
      <c r="I28" s="2542"/>
      <c r="J28" s="2543">
        <f t="shared" si="0"/>
        <v>0</v>
      </c>
      <c r="K28" s="2544"/>
      <c r="L28" s="2544"/>
      <c r="M28" s="2544"/>
      <c r="N28" s="2544"/>
      <c r="O28" s="2545"/>
      <c r="P28" s="2543">
        <f>_xlfn.IFNA(VLOOKUP(P$18,Application!$J$758:$S$761,6,FALSE), 0)</f>
        <v>0</v>
      </c>
      <c r="Q28" s="2544"/>
      <c r="R28" s="2544"/>
      <c r="S28" s="2544"/>
      <c r="T28" s="2544"/>
      <c r="U28" s="2545"/>
      <c r="V28" s="2543">
        <f>_xlfn.IFNA(VLOOKUP(V$18,Application!$J$758:$S$761,6,FALSE), 0)</f>
        <v>0</v>
      </c>
      <c r="W28" s="2544"/>
      <c r="X28" s="2544"/>
      <c r="Y28" s="2544"/>
      <c r="Z28" s="2544"/>
      <c r="AA28" s="2545"/>
      <c r="AB28" s="2543">
        <f>_xlfn.IFNA(VLOOKUP(AB$18,Application!$J$758:$S$761,6,FALSE), 0)</f>
        <v>0</v>
      </c>
      <c r="AC28" s="2544"/>
      <c r="AD28" s="2544"/>
      <c r="AE28" s="2544"/>
      <c r="AF28" s="2544"/>
      <c r="AG28" s="2545"/>
      <c r="AH28" s="2543">
        <f>_xlfn.IFNA(VLOOKUP(AH$18,Application!$J$758:$S$761,6,FALSE), 0)</f>
        <v>0</v>
      </c>
      <c r="AI28" s="2544"/>
      <c r="AJ28" s="2544"/>
      <c r="AK28" s="2544"/>
      <c r="AL28" s="2544"/>
      <c r="AM28" s="2545"/>
      <c r="AN28" s="2543">
        <f>_xlfn.IFNA(VLOOKUP(AN$18,Application!$J$758:$S$761,6,FALSE), 0)</f>
        <v>0</v>
      </c>
      <c r="AO28" s="2544"/>
      <c r="AP28" s="2544"/>
      <c r="AQ28" s="2544"/>
      <c r="AR28" s="2544"/>
      <c r="AS28" s="2545"/>
      <c r="AT28" s="2546">
        <f t="shared" si="1"/>
        <v>0</v>
      </c>
      <c r="AU28" s="2547"/>
      <c r="AV28" s="2547"/>
      <c r="AW28" s="2547"/>
      <c r="AX28" s="2547"/>
      <c r="AY28" s="2548"/>
      <c r="AZ28" s="1206"/>
      <c r="BA28" s="1206"/>
      <c r="BB28" s="1206"/>
      <c r="BC28" s="1206"/>
      <c r="BD28" s="1206"/>
      <c r="BE28" s="1202"/>
    </row>
    <row r="29" spans="1:58" thickBot="1">
      <c r="A29" s="1206"/>
      <c r="B29" s="2520" t="s">
        <v>1698</v>
      </c>
      <c r="C29" s="2498"/>
      <c r="D29" s="2498"/>
      <c r="E29" s="2498"/>
      <c r="F29" s="2498"/>
      <c r="G29" s="2498"/>
      <c r="H29" s="2498"/>
      <c r="I29" s="2499"/>
      <c r="J29" s="2497">
        <f>SUM(J19:O28)</f>
        <v>145</v>
      </c>
      <c r="K29" s="2498"/>
      <c r="L29" s="2498"/>
      <c r="M29" s="2498"/>
      <c r="N29" s="2498"/>
      <c r="O29" s="2499"/>
      <c r="P29" s="2497">
        <f>SUM(P19:U28)</f>
        <v>24</v>
      </c>
      <c r="Q29" s="2498"/>
      <c r="R29" s="2498"/>
      <c r="S29" s="2498"/>
      <c r="T29" s="2498"/>
      <c r="U29" s="2499"/>
      <c r="V29" s="2497">
        <f>SUM(V19:AA28)</f>
        <v>38</v>
      </c>
      <c r="W29" s="2498"/>
      <c r="X29" s="2498"/>
      <c r="Y29" s="2498"/>
      <c r="Z29" s="2498"/>
      <c r="AA29" s="2499"/>
      <c r="AB29" s="2497">
        <f>SUM(AB19:AG28)</f>
        <v>42</v>
      </c>
      <c r="AC29" s="2498"/>
      <c r="AD29" s="2498"/>
      <c r="AE29" s="2498"/>
      <c r="AF29" s="2498"/>
      <c r="AG29" s="2499"/>
      <c r="AH29" s="2497">
        <f>SUM(AH19:AM28)</f>
        <v>41</v>
      </c>
      <c r="AI29" s="2498"/>
      <c r="AJ29" s="2498"/>
      <c r="AK29" s="2498"/>
      <c r="AL29" s="2498"/>
      <c r="AM29" s="2499"/>
      <c r="AN29" s="2497">
        <f>SUM(AN19:AS28)</f>
        <v>0</v>
      </c>
      <c r="AO29" s="2498"/>
      <c r="AP29" s="2498"/>
      <c r="AQ29" s="2498"/>
      <c r="AR29" s="2498"/>
      <c r="AS29" s="2499"/>
      <c r="AT29" s="2513">
        <f t="shared" si="1"/>
        <v>1</v>
      </c>
      <c r="AU29" s="2514"/>
      <c r="AV29" s="2514"/>
      <c r="AW29" s="2514"/>
      <c r="AX29" s="2514"/>
      <c r="AY29" s="2515"/>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501" t="s">
        <v>1800</v>
      </c>
      <c r="C31" s="2502"/>
      <c r="D31" s="2502"/>
      <c r="E31" s="2502"/>
      <c r="F31" s="2502"/>
      <c r="G31" s="2502"/>
      <c r="H31" s="2502"/>
      <c r="I31" s="2502"/>
      <c r="J31" s="2502"/>
      <c r="K31" s="2502"/>
      <c r="L31" s="2502"/>
      <c r="M31" s="2502"/>
      <c r="N31" s="2502"/>
      <c r="O31" s="2502"/>
      <c r="P31" s="2502"/>
      <c r="Q31" s="2502"/>
      <c r="R31" s="2502"/>
      <c r="S31" s="2502"/>
      <c r="T31" s="2502"/>
      <c r="U31" s="2502"/>
      <c r="V31" s="2502"/>
      <c r="W31" s="2502"/>
      <c r="X31" s="2502"/>
      <c r="Y31" s="2502"/>
      <c r="Z31" s="2502"/>
      <c r="AA31" s="2502"/>
      <c r="AB31" s="2502"/>
      <c r="AC31" s="2502"/>
      <c r="AD31" s="2502"/>
      <c r="AE31" s="2502"/>
      <c r="AF31" s="2502"/>
      <c r="AG31" s="2502"/>
      <c r="AH31" s="2502"/>
      <c r="AI31" s="2502"/>
      <c r="AJ31" s="2502"/>
      <c r="AK31" s="2502"/>
      <c r="AL31" s="2502"/>
      <c r="AM31" s="2502"/>
      <c r="AN31" s="2502"/>
      <c r="AO31" s="2502"/>
      <c r="AP31" s="2502"/>
      <c r="AQ31" s="2502"/>
      <c r="AR31" s="2502"/>
      <c r="AS31" s="2502"/>
      <c r="AT31" s="2502"/>
      <c r="AU31" s="2502"/>
      <c r="AV31" s="2502"/>
      <c r="AW31" s="2502"/>
      <c r="AX31" s="2502"/>
      <c r="AY31" s="2502"/>
      <c r="AZ31" s="2502"/>
      <c r="BA31" s="2502"/>
      <c r="BB31" s="2502"/>
      <c r="BC31" s="2502"/>
      <c r="BD31" s="2503"/>
      <c r="BE31" s="1202"/>
    </row>
    <row r="32" spans="1:58" thickBot="1">
      <c r="A32" s="1206"/>
      <c r="B32" s="2516" t="s">
        <v>2473</v>
      </c>
      <c r="C32" s="2517"/>
      <c r="D32" s="2517"/>
      <c r="E32" s="2517"/>
      <c r="F32" s="2517"/>
      <c r="G32" s="2517"/>
      <c r="H32" s="2517"/>
      <c r="I32" s="2517"/>
      <c r="J32" s="2549" t="s">
        <v>2474</v>
      </c>
      <c r="K32" s="2550"/>
      <c r="L32" s="2550"/>
      <c r="M32" s="2550"/>
      <c r="N32" s="2549" t="s">
        <v>1801</v>
      </c>
      <c r="O32" s="2550"/>
      <c r="P32" s="2550"/>
      <c r="Q32" s="2552"/>
      <c r="R32" s="2510" t="s">
        <v>1802</v>
      </c>
      <c r="S32" s="2511"/>
      <c r="T32" s="2511"/>
      <c r="U32" s="2511"/>
      <c r="V32" s="2511"/>
      <c r="W32" s="2511"/>
      <c r="X32" s="2511"/>
      <c r="Y32" s="2511"/>
      <c r="Z32" s="2511"/>
      <c r="AA32" s="2511"/>
      <c r="AB32" s="2511"/>
      <c r="AC32" s="2511"/>
      <c r="AD32" s="2511"/>
      <c r="AE32" s="2511"/>
      <c r="AF32" s="2511"/>
      <c r="AG32" s="2511"/>
      <c r="AH32" s="2511"/>
      <c r="AI32" s="2511"/>
      <c r="AJ32" s="2511"/>
      <c r="AK32" s="2511"/>
      <c r="AL32" s="2511"/>
      <c r="AM32" s="2511"/>
      <c r="AN32" s="2511"/>
      <c r="AO32" s="2511"/>
      <c r="AP32" s="2511"/>
      <c r="AQ32" s="2511"/>
      <c r="AR32" s="2511"/>
      <c r="AS32" s="2511"/>
      <c r="AT32" s="2511"/>
      <c r="AU32" s="2511"/>
      <c r="AV32" s="2511"/>
      <c r="AW32" s="2511"/>
      <c r="AX32" s="2511"/>
      <c r="AY32" s="2511"/>
      <c r="AZ32" s="2511"/>
      <c r="BA32" s="2511"/>
      <c r="BB32" s="2511"/>
      <c r="BC32" s="2511"/>
      <c r="BD32" s="2512"/>
      <c r="BE32" s="1202"/>
    </row>
    <row r="33" spans="1:58" ht="15" customHeight="1">
      <c r="A33" s="1206"/>
      <c r="B33" s="2518"/>
      <c r="C33" s="2519"/>
      <c r="D33" s="2519"/>
      <c r="E33" s="2519"/>
      <c r="F33" s="2519"/>
      <c r="G33" s="2519"/>
      <c r="H33" s="2519"/>
      <c r="I33" s="2519"/>
      <c r="J33" s="2551"/>
      <c r="K33" s="2551"/>
      <c r="L33" s="2551"/>
      <c r="M33" s="2551"/>
      <c r="N33" s="2551"/>
      <c r="O33" s="2551"/>
      <c r="P33" s="2551"/>
      <c r="Q33" s="2553"/>
      <c r="R33" s="2504" t="s">
        <v>1803</v>
      </c>
      <c r="S33" s="2505"/>
      <c r="T33" s="2505"/>
      <c r="U33" s="2505"/>
      <c r="V33" s="2505"/>
      <c r="W33" s="2505"/>
      <c r="X33" s="2505"/>
      <c r="Y33" s="2505"/>
      <c r="Z33" s="2505"/>
      <c r="AA33" s="2505"/>
      <c r="AB33" s="2505"/>
      <c r="AC33" s="2505"/>
      <c r="AD33" s="2505"/>
      <c r="AE33" s="2505"/>
      <c r="AF33" s="2505"/>
      <c r="AG33" s="2505"/>
      <c r="AH33" s="2505"/>
      <c r="AI33" s="2505"/>
      <c r="AJ33" s="2505"/>
      <c r="AK33" s="2505"/>
      <c r="AL33" s="2505"/>
      <c r="AM33" s="2505"/>
      <c r="AN33" s="2505"/>
      <c r="AO33" s="2505"/>
      <c r="AP33" s="2505"/>
      <c r="AQ33" s="2505"/>
      <c r="AR33" s="2505"/>
      <c r="AS33" s="2505"/>
      <c r="AT33" s="2505"/>
      <c r="AU33" s="2505"/>
      <c r="AV33" s="2505"/>
      <c r="AW33" s="2505"/>
      <c r="AX33" s="2505"/>
      <c r="AY33" s="2505"/>
      <c r="AZ33" s="2505"/>
      <c r="BA33" s="2505"/>
      <c r="BB33" s="2505"/>
      <c r="BC33" s="2505"/>
      <c r="BD33" s="2506"/>
      <c r="BE33" s="1202"/>
    </row>
    <row r="34" spans="1:58" ht="15.75" customHeight="1" thickBot="1">
      <c r="A34" s="1206"/>
      <c r="B34" s="2518"/>
      <c r="C34" s="2519"/>
      <c r="D34" s="2519"/>
      <c r="E34" s="2519"/>
      <c r="F34" s="2519"/>
      <c r="G34" s="2519"/>
      <c r="H34" s="2519"/>
      <c r="I34" s="2519"/>
      <c r="J34" s="2551"/>
      <c r="K34" s="2551"/>
      <c r="L34" s="2551"/>
      <c r="M34" s="2551"/>
      <c r="N34" s="2551"/>
      <c r="O34" s="2551"/>
      <c r="P34" s="2551"/>
      <c r="Q34" s="2553"/>
      <c r="R34" s="2507"/>
      <c r="S34" s="2508"/>
      <c r="T34" s="2508"/>
      <c r="U34" s="2508"/>
      <c r="V34" s="2508"/>
      <c r="W34" s="2508"/>
      <c r="X34" s="2508"/>
      <c r="Y34" s="2508"/>
      <c r="Z34" s="2508"/>
      <c r="AA34" s="2508"/>
      <c r="AB34" s="2508"/>
      <c r="AC34" s="2508"/>
      <c r="AD34" s="2508"/>
      <c r="AE34" s="2508"/>
      <c r="AF34" s="2508"/>
      <c r="AG34" s="2508"/>
      <c r="AH34" s="2508"/>
      <c r="AI34" s="2508"/>
      <c r="AJ34" s="2508"/>
      <c r="AK34" s="2508"/>
      <c r="AL34" s="2508"/>
      <c r="AM34" s="2508"/>
      <c r="AN34" s="2508"/>
      <c r="AO34" s="2508"/>
      <c r="AP34" s="2508"/>
      <c r="AQ34" s="2508"/>
      <c r="AR34" s="2508"/>
      <c r="AS34" s="2508"/>
      <c r="AT34" s="2508"/>
      <c r="AU34" s="2508"/>
      <c r="AV34" s="2508"/>
      <c r="AW34" s="2508"/>
      <c r="AX34" s="2508"/>
      <c r="AY34" s="2508"/>
      <c r="AZ34" s="2508"/>
      <c r="BA34" s="2508"/>
      <c r="BB34" s="2508"/>
      <c r="BC34" s="2508"/>
      <c r="BD34" s="2509"/>
      <c r="BE34" s="1202"/>
    </row>
    <row r="35" spans="1:58" ht="15.75" customHeight="1">
      <c r="A35" s="1206"/>
      <c r="B35" s="2518"/>
      <c r="C35" s="2519"/>
      <c r="D35" s="2519"/>
      <c r="E35" s="2519"/>
      <c r="F35" s="2519"/>
      <c r="G35" s="2519"/>
      <c r="H35" s="2519"/>
      <c r="I35" s="2519"/>
      <c r="J35" s="2551"/>
      <c r="K35" s="2551"/>
      <c r="L35" s="2551"/>
      <c r="M35" s="2551"/>
      <c r="N35" s="2551"/>
      <c r="O35" s="2551"/>
      <c r="P35" s="2551"/>
      <c r="Q35" s="2551"/>
      <c r="R35" s="2500">
        <v>0.3</v>
      </c>
      <c r="S35" s="2500"/>
      <c r="T35" s="2500"/>
      <c r="U35" s="2500"/>
      <c r="V35" s="2500">
        <v>0.4</v>
      </c>
      <c r="W35" s="2500"/>
      <c r="X35" s="2500"/>
      <c r="Y35" s="2500"/>
      <c r="Z35" s="2500">
        <v>0.5</v>
      </c>
      <c r="AA35" s="2500"/>
      <c r="AB35" s="2500"/>
      <c r="AC35" s="2500"/>
      <c r="AD35" s="2500">
        <v>0.6</v>
      </c>
      <c r="AE35" s="2500"/>
      <c r="AF35" s="2500"/>
      <c r="AG35" s="2500"/>
      <c r="AH35" s="2500">
        <v>0.7</v>
      </c>
      <c r="AI35" s="2500"/>
      <c r="AJ35" s="2500"/>
      <c r="AK35" s="2500"/>
      <c r="AL35" s="2521">
        <v>0.8</v>
      </c>
      <c r="AM35" s="2522"/>
      <c r="AN35" s="2522"/>
      <c r="AO35" s="2523"/>
      <c r="AP35" s="2524">
        <v>1.2</v>
      </c>
      <c r="AQ35" s="2525"/>
      <c r="AR35" s="2526"/>
      <c r="AS35" s="2527" t="s">
        <v>1804</v>
      </c>
      <c r="AT35" s="2528"/>
      <c r="AU35" s="2528"/>
      <c r="AV35" s="2528"/>
      <c r="AW35" s="2528"/>
      <c r="AX35" s="2529"/>
      <c r="AY35" s="2527" t="s">
        <v>1805</v>
      </c>
      <c r="AZ35" s="2528"/>
      <c r="BA35" s="2528"/>
      <c r="BB35" s="2528"/>
      <c r="BC35" s="2528"/>
      <c r="BD35" s="2530"/>
      <c r="BE35" s="1202"/>
    </row>
    <row r="36" spans="1:58" ht="15.75" customHeight="1">
      <c r="A36" s="1206"/>
      <c r="B36" s="2258" t="s">
        <v>1806</v>
      </c>
      <c r="C36" s="2259"/>
      <c r="D36" s="2259"/>
      <c r="E36" s="2259"/>
      <c r="F36" s="2259"/>
      <c r="G36" s="2259"/>
      <c r="H36" s="2259"/>
      <c r="I36" s="2259"/>
      <c r="J36" s="2490" t="s">
        <v>1807</v>
      </c>
      <c r="K36" s="2490"/>
      <c r="L36" s="2490"/>
      <c r="M36" s="2490"/>
      <c r="N36" s="2490">
        <v>55</v>
      </c>
      <c r="O36" s="2490"/>
      <c r="P36" s="2490"/>
      <c r="Q36" s="2490"/>
      <c r="R36" s="2236">
        <v>0</v>
      </c>
      <c r="S36" s="2236"/>
      <c r="T36" s="2236"/>
      <c r="U36" s="2236"/>
      <c r="V36" s="2236">
        <v>0</v>
      </c>
      <c r="W36" s="2236"/>
      <c r="X36" s="2236"/>
      <c r="Y36" s="2236"/>
      <c r="Z36" s="2236">
        <v>10</v>
      </c>
      <c r="AA36" s="2236"/>
      <c r="AB36" s="2236"/>
      <c r="AC36" s="2236"/>
      <c r="AD36" s="2236">
        <v>10</v>
      </c>
      <c r="AE36" s="2236"/>
      <c r="AF36" s="2236"/>
      <c r="AG36" s="2236"/>
      <c r="AH36" s="2236">
        <v>30</v>
      </c>
      <c r="AI36" s="2236"/>
      <c r="AJ36" s="2236"/>
      <c r="AK36" s="2236"/>
      <c r="AL36" s="2237">
        <v>0</v>
      </c>
      <c r="AM36" s="2238"/>
      <c r="AN36" s="2238"/>
      <c r="AO36" s="2239"/>
      <c r="AP36" s="2237">
        <v>0</v>
      </c>
      <c r="AQ36" s="2238"/>
      <c r="AR36" s="2239"/>
      <c r="AS36" s="2240">
        <f t="shared" ref="AS36:AS47" si="2">SUM(R36:AR36)</f>
        <v>50</v>
      </c>
      <c r="AT36" s="2241"/>
      <c r="AU36" s="2241"/>
      <c r="AV36" s="2241"/>
      <c r="AW36" s="2241"/>
      <c r="AX36" s="2242"/>
      <c r="AY36" s="2494">
        <f t="shared" ref="AY36:AY47" si="3">AS36/$J$29</f>
        <v>0.34482758620689657</v>
      </c>
      <c r="AZ36" s="2495"/>
      <c r="BA36" s="2495"/>
      <c r="BB36" s="2495"/>
      <c r="BC36" s="2495"/>
      <c r="BD36" s="2496"/>
      <c r="BE36" s="1202"/>
    </row>
    <row r="37" spans="1:58" ht="15.75" customHeight="1">
      <c r="A37" s="1206"/>
      <c r="B37" s="2258" t="s">
        <v>2475</v>
      </c>
      <c r="C37" s="2259"/>
      <c r="D37" s="2259"/>
      <c r="E37" s="2259"/>
      <c r="F37" s="2259"/>
      <c r="G37" s="2259"/>
      <c r="H37" s="2259"/>
      <c r="I37" s="2259"/>
      <c r="J37" s="2490" t="s">
        <v>1808</v>
      </c>
      <c r="K37" s="2490"/>
      <c r="L37" s="2490"/>
      <c r="M37" s="2490"/>
      <c r="N37" s="2490">
        <v>55</v>
      </c>
      <c r="O37" s="2490"/>
      <c r="P37" s="2490"/>
      <c r="Q37" s="2490"/>
      <c r="R37" s="2236">
        <v>10</v>
      </c>
      <c r="S37" s="2236"/>
      <c r="T37" s="2236"/>
      <c r="U37" s="2236"/>
      <c r="V37" s="2236"/>
      <c r="W37" s="2236"/>
      <c r="X37" s="2236"/>
      <c r="Y37" s="2236"/>
      <c r="Z37" s="2236"/>
      <c r="AA37" s="2236"/>
      <c r="AB37" s="2236"/>
      <c r="AC37" s="2236"/>
      <c r="AD37" s="2236"/>
      <c r="AE37" s="2236"/>
      <c r="AF37" s="2236"/>
      <c r="AG37" s="2236"/>
      <c r="AH37" s="2236"/>
      <c r="AI37" s="2236"/>
      <c r="AJ37" s="2236"/>
      <c r="AK37" s="2236"/>
      <c r="AL37" s="2237"/>
      <c r="AM37" s="2238"/>
      <c r="AN37" s="2238"/>
      <c r="AO37" s="2239"/>
      <c r="AP37" s="2237"/>
      <c r="AQ37" s="2238"/>
      <c r="AR37" s="2239"/>
      <c r="AS37" s="2240">
        <f t="shared" si="2"/>
        <v>10</v>
      </c>
      <c r="AT37" s="2241"/>
      <c r="AU37" s="2241"/>
      <c r="AV37" s="2241"/>
      <c r="AW37" s="2241"/>
      <c r="AX37" s="2242"/>
      <c r="AY37" s="2494">
        <f t="shared" si="3"/>
        <v>6.8965517241379309E-2</v>
      </c>
      <c r="AZ37" s="2495"/>
      <c r="BA37" s="2495"/>
      <c r="BB37" s="2495"/>
      <c r="BC37" s="2495"/>
      <c r="BD37" s="2496"/>
      <c r="BE37" s="1202"/>
    </row>
    <row r="38" spans="1:58" ht="15.75" customHeight="1">
      <c r="A38" s="1206"/>
      <c r="B38" s="2258" t="s">
        <v>2414</v>
      </c>
      <c r="C38" s="2259"/>
      <c r="D38" s="2259"/>
      <c r="E38" s="2259"/>
      <c r="F38" s="2259"/>
      <c r="G38" s="2259"/>
      <c r="H38" s="2259"/>
      <c r="I38" s="2259"/>
      <c r="J38" s="2490" t="s">
        <v>1809</v>
      </c>
      <c r="K38" s="2490"/>
      <c r="L38" s="2490"/>
      <c r="M38" s="2490"/>
      <c r="N38" s="2490">
        <v>55</v>
      </c>
      <c r="O38" s="2490"/>
      <c r="P38" s="2490"/>
      <c r="Q38" s="2490"/>
      <c r="R38" s="2236"/>
      <c r="S38" s="2236"/>
      <c r="T38" s="2236"/>
      <c r="U38" s="2236"/>
      <c r="V38" s="2236"/>
      <c r="W38" s="2236"/>
      <c r="X38" s="2236"/>
      <c r="Y38" s="2236"/>
      <c r="Z38" s="2236"/>
      <c r="AA38" s="2236"/>
      <c r="AB38" s="2236"/>
      <c r="AC38" s="2236"/>
      <c r="AD38" s="2236"/>
      <c r="AE38" s="2236"/>
      <c r="AF38" s="2236"/>
      <c r="AG38" s="2236"/>
      <c r="AH38" s="2236"/>
      <c r="AI38" s="2236"/>
      <c r="AJ38" s="2236"/>
      <c r="AK38" s="2236"/>
      <c r="AL38" s="2237"/>
      <c r="AM38" s="2238"/>
      <c r="AN38" s="2238"/>
      <c r="AO38" s="2239"/>
      <c r="AP38" s="2237"/>
      <c r="AQ38" s="2238"/>
      <c r="AR38" s="2239"/>
      <c r="AS38" s="2240">
        <f t="shared" si="2"/>
        <v>0</v>
      </c>
      <c r="AT38" s="2241"/>
      <c r="AU38" s="2241"/>
      <c r="AV38" s="2241"/>
      <c r="AW38" s="2241"/>
      <c r="AX38" s="2242"/>
      <c r="AY38" s="2494">
        <f t="shared" si="3"/>
        <v>0</v>
      </c>
      <c r="AZ38" s="2495"/>
      <c r="BA38" s="2495"/>
      <c r="BB38" s="2495"/>
      <c r="BC38" s="2495"/>
      <c r="BD38" s="2496"/>
      <c r="BE38" s="1202"/>
    </row>
    <row r="39" spans="1:58" ht="15.75" customHeight="1">
      <c r="A39" s="1206"/>
      <c r="B39" s="2258" t="s">
        <v>1810</v>
      </c>
      <c r="C39" s="2259"/>
      <c r="D39" s="2259"/>
      <c r="E39" s="2259"/>
      <c r="F39" s="2259"/>
      <c r="G39" s="2259"/>
      <c r="H39" s="2259"/>
      <c r="I39" s="2259"/>
      <c r="J39" s="2490"/>
      <c r="K39" s="2490"/>
      <c r="L39" s="2490"/>
      <c r="M39" s="2490"/>
      <c r="N39" s="2490"/>
      <c r="O39" s="2490"/>
      <c r="P39" s="2490"/>
      <c r="Q39" s="2490"/>
      <c r="R39" s="2236"/>
      <c r="S39" s="2236"/>
      <c r="T39" s="2236"/>
      <c r="U39" s="2236"/>
      <c r="V39" s="2236"/>
      <c r="W39" s="2236"/>
      <c r="X39" s="2236"/>
      <c r="Y39" s="2236"/>
      <c r="Z39" s="2236"/>
      <c r="AA39" s="2236"/>
      <c r="AB39" s="2236"/>
      <c r="AC39" s="2236"/>
      <c r="AD39" s="2236"/>
      <c r="AE39" s="2236"/>
      <c r="AF39" s="2236"/>
      <c r="AG39" s="2236"/>
      <c r="AH39" s="2236"/>
      <c r="AI39" s="2236"/>
      <c r="AJ39" s="2236"/>
      <c r="AK39" s="2236"/>
      <c r="AL39" s="2237"/>
      <c r="AM39" s="2238"/>
      <c r="AN39" s="2238"/>
      <c r="AO39" s="2239"/>
      <c r="AP39" s="2237"/>
      <c r="AQ39" s="2238"/>
      <c r="AR39" s="2239"/>
      <c r="AS39" s="2240">
        <f t="shared" si="2"/>
        <v>0</v>
      </c>
      <c r="AT39" s="2241"/>
      <c r="AU39" s="2241"/>
      <c r="AV39" s="2241"/>
      <c r="AW39" s="2241"/>
      <c r="AX39" s="2242"/>
      <c r="AY39" s="2494">
        <f t="shared" si="3"/>
        <v>0</v>
      </c>
      <c r="AZ39" s="2495"/>
      <c r="BA39" s="2495"/>
      <c r="BB39" s="2495"/>
      <c r="BC39" s="2495"/>
      <c r="BD39" s="2496"/>
      <c r="BE39" s="1202"/>
    </row>
    <row r="40" spans="1:58" ht="15.75" customHeight="1">
      <c r="A40" s="1206"/>
      <c r="B40" s="2258" t="s">
        <v>1810</v>
      </c>
      <c r="C40" s="2259"/>
      <c r="D40" s="2259"/>
      <c r="E40" s="2259"/>
      <c r="F40" s="2259"/>
      <c r="G40" s="2259"/>
      <c r="H40" s="2259"/>
      <c r="I40" s="2259"/>
      <c r="J40" s="2490"/>
      <c r="K40" s="2490"/>
      <c r="L40" s="2490"/>
      <c r="M40" s="2490"/>
      <c r="N40" s="2490"/>
      <c r="O40" s="2490"/>
      <c r="P40" s="2490"/>
      <c r="Q40" s="2490"/>
      <c r="R40" s="2236"/>
      <c r="S40" s="2236"/>
      <c r="T40" s="2236"/>
      <c r="U40" s="2236"/>
      <c r="V40" s="2236"/>
      <c r="W40" s="2236"/>
      <c r="X40" s="2236"/>
      <c r="Y40" s="2236"/>
      <c r="Z40" s="2236"/>
      <c r="AA40" s="2236"/>
      <c r="AB40" s="2236"/>
      <c r="AC40" s="2236"/>
      <c r="AD40" s="2236"/>
      <c r="AE40" s="2236"/>
      <c r="AF40" s="2236"/>
      <c r="AG40" s="2236"/>
      <c r="AH40" s="2236"/>
      <c r="AI40" s="2236"/>
      <c r="AJ40" s="2236"/>
      <c r="AK40" s="2236"/>
      <c r="AL40" s="2237"/>
      <c r="AM40" s="2238"/>
      <c r="AN40" s="2238"/>
      <c r="AO40" s="2239"/>
      <c r="AP40" s="2237"/>
      <c r="AQ40" s="2238"/>
      <c r="AR40" s="2239"/>
      <c r="AS40" s="2240">
        <f t="shared" si="2"/>
        <v>0</v>
      </c>
      <c r="AT40" s="2241"/>
      <c r="AU40" s="2241"/>
      <c r="AV40" s="2241"/>
      <c r="AW40" s="2241"/>
      <c r="AX40" s="2242"/>
      <c r="AY40" s="2494">
        <f t="shared" si="3"/>
        <v>0</v>
      </c>
      <c r="AZ40" s="2495"/>
      <c r="BA40" s="2495"/>
      <c r="BB40" s="2495"/>
      <c r="BC40" s="2495"/>
      <c r="BD40" s="2496"/>
      <c r="BE40" s="1202"/>
    </row>
    <row r="41" spans="1:58" ht="15.75" customHeight="1">
      <c r="A41" s="1206"/>
      <c r="B41" s="2258" t="s">
        <v>1811</v>
      </c>
      <c r="C41" s="2259"/>
      <c r="D41" s="2259"/>
      <c r="E41" s="2259"/>
      <c r="F41" s="2259"/>
      <c r="G41" s="2259"/>
      <c r="H41" s="2259"/>
      <c r="I41" s="2259"/>
      <c r="J41" s="2490"/>
      <c r="K41" s="2490"/>
      <c r="L41" s="2490"/>
      <c r="M41" s="2490"/>
      <c r="N41" s="2490"/>
      <c r="O41" s="2490"/>
      <c r="P41" s="2490"/>
      <c r="Q41" s="2490"/>
      <c r="R41" s="2236"/>
      <c r="S41" s="2236"/>
      <c r="T41" s="2236"/>
      <c r="U41" s="2236"/>
      <c r="V41" s="2236"/>
      <c r="W41" s="2236"/>
      <c r="X41" s="2236"/>
      <c r="Y41" s="2236"/>
      <c r="Z41" s="2236"/>
      <c r="AA41" s="2236"/>
      <c r="AB41" s="2236"/>
      <c r="AC41" s="2236"/>
      <c r="AD41" s="2236"/>
      <c r="AE41" s="2236"/>
      <c r="AF41" s="2236"/>
      <c r="AG41" s="2236"/>
      <c r="AH41" s="2236"/>
      <c r="AI41" s="2236"/>
      <c r="AJ41" s="2236"/>
      <c r="AK41" s="2236"/>
      <c r="AL41" s="2237"/>
      <c r="AM41" s="2238"/>
      <c r="AN41" s="2238"/>
      <c r="AO41" s="2239"/>
      <c r="AP41" s="2237"/>
      <c r="AQ41" s="2238"/>
      <c r="AR41" s="2239"/>
      <c r="AS41" s="2240">
        <f t="shared" si="2"/>
        <v>0</v>
      </c>
      <c r="AT41" s="2241"/>
      <c r="AU41" s="2241"/>
      <c r="AV41" s="2241"/>
      <c r="AW41" s="2241"/>
      <c r="AX41" s="2242"/>
      <c r="AY41" s="2494">
        <f t="shared" si="3"/>
        <v>0</v>
      </c>
      <c r="AZ41" s="2495"/>
      <c r="BA41" s="2495"/>
      <c r="BB41" s="2495"/>
      <c r="BC41" s="2495"/>
      <c r="BD41" s="2496"/>
      <c r="BE41" s="1202"/>
    </row>
    <row r="42" spans="1:58" ht="15.75" customHeight="1">
      <c r="A42" s="1206"/>
      <c r="B42" s="2258" t="s">
        <v>1811</v>
      </c>
      <c r="C42" s="2259"/>
      <c r="D42" s="2259"/>
      <c r="E42" s="2259"/>
      <c r="F42" s="2259"/>
      <c r="G42" s="2259"/>
      <c r="H42" s="2259"/>
      <c r="I42" s="2259"/>
      <c r="J42" s="2490"/>
      <c r="K42" s="2490"/>
      <c r="L42" s="2490"/>
      <c r="M42" s="2490"/>
      <c r="N42" s="2490"/>
      <c r="O42" s="2490"/>
      <c r="P42" s="2490"/>
      <c r="Q42" s="2490"/>
      <c r="R42" s="2236"/>
      <c r="S42" s="2236"/>
      <c r="T42" s="2236"/>
      <c r="U42" s="2236"/>
      <c r="V42" s="2236"/>
      <c r="W42" s="2236"/>
      <c r="X42" s="2236"/>
      <c r="Y42" s="2236"/>
      <c r="Z42" s="2236"/>
      <c r="AA42" s="2236"/>
      <c r="AB42" s="2236"/>
      <c r="AC42" s="2236"/>
      <c r="AD42" s="2236"/>
      <c r="AE42" s="2236"/>
      <c r="AF42" s="2236"/>
      <c r="AG42" s="2236"/>
      <c r="AH42" s="2236"/>
      <c r="AI42" s="2236"/>
      <c r="AJ42" s="2236"/>
      <c r="AK42" s="2236"/>
      <c r="AL42" s="2237"/>
      <c r="AM42" s="2238"/>
      <c r="AN42" s="2238"/>
      <c r="AO42" s="2239"/>
      <c r="AP42" s="2237"/>
      <c r="AQ42" s="2238"/>
      <c r="AR42" s="2239"/>
      <c r="AS42" s="2240">
        <f t="shared" si="2"/>
        <v>0</v>
      </c>
      <c r="AT42" s="2241"/>
      <c r="AU42" s="2241"/>
      <c r="AV42" s="2241"/>
      <c r="AW42" s="2241"/>
      <c r="AX42" s="2242"/>
      <c r="AY42" s="2494">
        <f t="shared" si="3"/>
        <v>0</v>
      </c>
      <c r="AZ42" s="2495"/>
      <c r="BA42" s="2495"/>
      <c r="BB42" s="2495"/>
      <c r="BC42" s="2495"/>
      <c r="BD42" s="2496"/>
      <c r="BE42" s="1202"/>
    </row>
    <row r="43" spans="1:58" ht="15.75" customHeight="1">
      <c r="A43" s="1206"/>
      <c r="B43" s="2229" t="s">
        <v>1812</v>
      </c>
      <c r="C43" s="2230"/>
      <c r="D43" s="2230"/>
      <c r="E43" s="2230"/>
      <c r="F43" s="2230"/>
      <c r="G43" s="2230"/>
      <c r="H43" s="2230"/>
      <c r="I43" s="2230"/>
      <c r="J43" s="2490"/>
      <c r="K43" s="2490"/>
      <c r="L43" s="2490"/>
      <c r="M43" s="2490"/>
      <c r="N43" s="2490"/>
      <c r="O43" s="2490"/>
      <c r="P43" s="2490"/>
      <c r="Q43" s="2490"/>
      <c r="R43" s="2236"/>
      <c r="S43" s="2236"/>
      <c r="T43" s="2236"/>
      <c r="U43" s="2236"/>
      <c r="V43" s="2236"/>
      <c r="W43" s="2236"/>
      <c r="X43" s="2236"/>
      <c r="Y43" s="2236"/>
      <c r="Z43" s="2236"/>
      <c r="AA43" s="2236"/>
      <c r="AB43" s="2236"/>
      <c r="AC43" s="2236"/>
      <c r="AD43" s="2236"/>
      <c r="AE43" s="2236"/>
      <c r="AF43" s="2236"/>
      <c r="AG43" s="2236"/>
      <c r="AH43" s="2236"/>
      <c r="AI43" s="2236"/>
      <c r="AJ43" s="2236"/>
      <c r="AK43" s="2236"/>
      <c r="AL43" s="2237"/>
      <c r="AM43" s="2238"/>
      <c r="AN43" s="2238"/>
      <c r="AO43" s="2239"/>
      <c r="AP43" s="2237"/>
      <c r="AQ43" s="2238"/>
      <c r="AR43" s="2239"/>
      <c r="AS43" s="2240">
        <f t="shared" si="2"/>
        <v>0</v>
      </c>
      <c r="AT43" s="2241"/>
      <c r="AU43" s="2241"/>
      <c r="AV43" s="2241"/>
      <c r="AW43" s="2241"/>
      <c r="AX43" s="2242"/>
      <c r="AY43" s="2494">
        <f t="shared" si="3"/>
        <v>0</v>
      </c>
      <c r="AZ43" s="2495"/>
      <c r="BA43" s="2495"/>
      <c r="BB43" s="2495"/>
      <c r="BC43" s="2495"/>
      <c r="BD43" s="2496"/>
      <c r="BE43" s="1202"/>
    </row>
    <row r="44" spans="1:58" ht="15.75" customHeight="1">
      <c r="A44" s="1206"/>
      <c r="B44" s="2229" t="s">
        <v>1813</v>
      </c>
      <c r="C44" s="2230"/>
      <c r="D44" s="2230"/>
      <c r="E44" s="2230"/>
      <c r="F44" s="2230"/>
      <c r="G44" s="2230"/>
      <c r="H44" s="2230"/>
      <c r="I44" s="2230"/>
      <c r="J44" s="2490"/>
      <c r="K44" s="2490"/>
      <c r="L44" s="2490"/>
      <c r="M44" s="2490"/>
      <c r="N44" s="2490"/>
      <c r="O44" s="2490"/>
      <c r="P44" s="2490"/>
      <c r="Q44" s="2490"/>
      <c r="R44" s="2236"/>
      <c r="S44" s="2236"/>
      <c r="T44" s="2236"/>
      <c r="U44" s="2236"/>
      <c r="V44" s="2236"/>
      <c r="W44" s="2236"/>
      <c r="X44" s="2236"/>
      <c r="Y44" s="2236"/>
      <c r="Z44" s="2236"/>
      <c r="AA44" s="2236"/>
      <c r="AB44" s="2236"/>
      <c r="AC44" s="2236"/>
      <c r="AD44" s="2236"/>
      <c r="AE44" s="2236"/>
      <c r="AF44" s="2236"/>
      <c r="AG44" s="2236"/>
      <c r="AH44" s="2236"/>
      <c r="AI44" s="2236"/>
      <c r="AJ44" s="2236"/>
      <c r="AK44" s="2236"/>
      <c r="AL44" s="2237"/>
      <c r="AM44" s="2238"/>
      <c r="AN44" s="2238"/>
      <c r="AO44" s="2239"/>
      <c r="AP44" s="2237"/>
      <c r="AQ44" s="2238"/>
      <c r="AR44" s="2239"/>
      <c r="AS44" s="2240">
        <f t="shared" si="2"/>
        <v>0</v>
      </c>
      <c r="AT44" s="2241"/>
      <c r="AU44" s="2241"/>
      <c r="AV44" s="2241"/>
      <c r="AW44" s="2241"/>
      <c r="AX44" s="2242"/>
      <c r="AY44" s="2494">
        <f t="shared" si="3"/>
        <v>0</v>
      </c>
      <c r="AZ44" s="2495"/>
      <c r="BA44" s="2495"/>
      <c r="BB44" s="2495"/>
      <c r="BC44" s="2495"/>
      <c r="BD44" s="2496"/>
      <c r="BE44" s="1202"/>
    </row>
    <row r="45" spans="1:58" ht="15.75" customHeight="1">
      <c r="A45" s="1206"/>
      <c r="B45" s="2229" t="s">
        <v>1814</v>
      </c>
      <c r="C45" s="2230"/>
      <c r="D45" s="2230"/>
      <c r="E45" s="2230"/>
      <c r="F45" s="2230"/>
      <c r="G45" s="2230"/>
      <c r="H45" s="2230"/>
      <c r="I45" s="2230"/>
      <c r="J45" s="2490"/>
      <c r="K45" s="2490"/>
      <c r="L45" s="2490"/>
      <c r="M45" s="2490"/>
      <c r="N45" s="2490"/>
      <c r="O45" s="2490"/>
      <c r="P45" s="2490"/>
      <c r="Q45" s="2490"/>
      <c r="R45" s="2236"/>
      <c r="S45" s="2236"/>
      <c r="T45" s="2236"/>
      <c r="U45" s="2236"/>
      <c r="V45" s="2236"/>
      <c r="W45" s="2236"/>
      <c r="X45" s="2236"/>
      <c r="Y45" s="2236"/>
      <c r="Z45" s="2236"/>
      <c r="AA45" s="2236"/>
      <c r="AB45" s="2236"/>
      <c r="AC45" s="2236"/>
      <c r="AD45" s="2236"/>
      <c r="AE45" s="2236"/>
      <c r="AF45" s="2236"/>
      <c r="AG45" s="2236"/>
      <c r="AH45" s="2236"/>
      <c r="AI45" s="2236"/>
      <c r="AJ45" s="2236"/>
      <c r="AK45" s="2236"/>
      <c r="AL45" s="2237"/>
      <c r="AM45" s="2238"/>
      <c r="AN45" s="2238"/>
      <c r="AO45" s="2239"/>
      <c r="AP45" s="2237"/>
      <c r="AQ45" s="2238"/>
      <c r="AR45" s="2239"/>
      <c r="AS45" s="2240">
        <f t="shared" si="2"/>
        <v>0</v>
      </c>
      <c r="AT45" s="2241"/>
      <c r="AU45" s="2241"/>
      <c r="AV45" s="2241"/>
      <c r="AW45" s="2241"/>
      <c r="AX45" s="2242"/>
      <c r="AY45" s="2494">
        <f t="shared" si="3"/>
        <v>0</v>
      </c>
      <c r="AZ45" s="2495"/>
      <c r="BA45" s="2495"/>
      <c r="BB45" s="2495"/>
      <c r="BC45" s="2495"/>
      <c r="BD45" s="2496"/>
      <c r="BE45" s="1202"/>
    </row>
    <row r="46" spans="1:58" ht="15.75" customHeight="1">
      <c r="A46" s="1206"/>
      <c r="B46" s="2229" t="s">
        <v>1815</v>
      </c>
      <c r="C46" s="2230"/>
      <c r="D46" s="2230"/>
      <c r="E46" s="2230"/>
      <c r="F46" s="2230"/>
      <c r="G46" s="2230"/>
      <c r="H46" s="2230"/>
      <c r="I46" s="2230"/>
      <c r="J46" s="2490"/>
      <c r="K46" s="2490"/>
      <c r="L46" s="2490"/>
      <c r="M46" s="2490"/>
      <c r="N46" s="2490">
        <v>99</v>
      </c>
      <c r="O46" s="2490"/>
      <c r="P46" s="2490"/>
      <c r="Q46" s="2490"/>
      <c r="R46" s="2236"/>
      <c r="S46" s="2236"/>
      <c r="T46" s="2236"/>
      <c r="U46" s="2236"/>
      <c r="V46" s="2236"/>
      <c r="W46" s="2236"/>
      <c r="X46" s="2236"/>
      <c r="Y46" s="2236"/>
      <c r="Z46" s="2236"/>
      <c r="AA46" s="2236"/>
      <c r="AB46" s="2236"/>
      <c r="AC46" s="2236"/>
      <c r="AD46" s="2236"/>
      <c r="AE46" s="2236"/>
      <c r="AF46" s="2236"/>
      <c r="AG46" s="2236"/>
      <c r="AH46" s="2236"/>
      <c r="AI46" s="2236"/>
      <c r="AJ46" s="2236"/>
      <c r="AK46" s="2236"/>
      <c r="AL46" s="2237"/>
      <c r="AM46" s="2238"/>
      <c r="AN46" s="2238"/>
      <c r="AO46" s="2239"/>
      <c r="AP46" s="2237"/>
      <c r="AQ46" s="2238"/>
      <c r="AR46" s="2239"/>
      <c r="AS46" s="2240">
        <f t="shared" si="2"/>
        <v>0</v>
      </c>
      <c r="AT46" s="2241"/>
      <c r="AU46" s="2241"/>
      <c r="AV46" s="2241"/>
      <c r="AW46" s="2241"/>
      <c r="AX46" s="2242"/>
      <c r="AY46" s="2494">
        <f t="shared" si="3"/>
        <v>0</v>
      </c>
      <c r="AZ46" s="2495"/>
      <c r="BA46" s="2495"/>
      <c r="BB46" s="2495"/>
      <c r="BC46" s="2495"/>
      <c r="BD46" s="2496"/>
      <c r="BE46" s="1202"/>
    </row>
    <row r="47" spans="1:58" ht="15.75" customHeight="1" thickBot="1">
      <c r="A47" s="1206"/>
      <c r="B47" s="2487" t="s">
        <v>301</v>
      </c>
      <c r="C47" s="2488"/>
      <c r="D47" s="2488"/>
      <c r="E47" s="2488"/>
      <c r="F47" s="2488"/>
      <c r="G47" s="2488"/>
      <c r="H47" s="2488"/>
      <c r="I47" s="2488"/>
      <c r="J47" s="2489"/>
      <c r="K47" s="2489"/>
      <c r="L47" s="2489"/>
      <c r="M47" s="2489"/>
      <c r="N47" s="2489"/>
      <c r="O47" s="2489"/>
      <c r="P47" s="2489"/>
      <c r="Q47" s="2489"/>
      <c r="R47" s="2483"/>
      <c r="S47" s="2483"/>
      <c r="T47" s="2483"/>
      <c r="U47" s="2483"/>
      <c r="V47" s="2483"/>
      <c r="W47" s="2483"/>
      <c r="X47" s="2483"/>
      <c r="Y47" s="2483"/>
      <c r="Z47" s="2483"/>
      <c r="AA47" s="2483"/>
      <c r="AB47" s="2483"/>
      <c r="AC47" s="2483"/>
      <c r="AD47" s="2483"/>
      <c r="AE47" s="2483"/>
      <c r="AF47" s="2483"/>
      <c r="AG47" s="2483"/>
      <c r="AH47" s="2483"/>
      <c r="AI47" s="2483"/>
      <c r="AJ47" s="2483"/>
      <c r="AK47" s="2483"/>
      <c r="AL47" s="2484"/>
      <c r="AM47" s="2485"/>
      <c r="AN47" s="2485"/>
      <c r="AO47" s="2486"/>
      <c r="AP47" s="2484"/>
      <c r="AQ47" s="2485"/>
      <c r="AR47" s="2486"/>
      <c r="AS47" s="2240">
        <f t="shared" si="2"/>
        <v>0</v>
      </c>
      <c r="AT47" s="2241"/>
      <c r="AU47" s="2241"/>
      <c r="AV47" s="2241"/>
      <c r="AW47" s="2241"/>
      <c r="AX47" s="2242"/>
      <c r="AY47" s="2491">
        <f t="shared" si="3"/>
        <v>0</v>
      </c>
      <c r="AZ47" s="2492"/>
      <c r="BA47" s="2492"/>
      <c r="BB47" s="2492"/>
      <c r="BC47" s="2492"/>
      <c r="BD47" s="2493"/>
      <c r="BE47" s="1202"/>
    </row>
    <row r="48" spans="1:58" ht="15.75" customHeight="1">
      <c r="A48" s="1206"/>
      <c r="B48" s="1254" t="s">
        <v>2476</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2184</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31" t="s">
        <v>1816</v>
      </c>
      <c r="C50" s="2227"/>
      <c r="D50" s="2227"/>
      <c r="E50" s="2227"/>
      <c r="F50" s="2227"/>
      <c r="G50" s="2227"/>
      <c r="H50" s="2227"/>
      <c r="I50" s="2227"/>
      <c r="J50" s="2227"/>
      <c r="K50" s="2227"/>
      <c r="L50" s="2227"/>
      <c r="M50" s="2227"/>
      <c r="N50" s="2227"/>
      <c r="O50" s="2227"/>
      <c r="P50" s="2227"/>
      <c r="Q50" s="2227"/>
      <c r="R50" s="2227"/>
      <c r="S50" s="2227"/>
      <c r="T50" s="2227"/>
      <c r="U50" s="2227"/>
      <c r="V50" s="2227"/>
      <c r="W50" s="2227"/>
      <c r="X50" s="2227"/>
      <c r="Y50" s="2227"/>
      <c r="Z50" s="2227"/>
      <c r="AA50" s="2227"/>
      <c r="AB50" s="2227"/>
      <c r="AC50" s="2227"/>
      <c r="AD50" s="2227"/>
      <c r="AE50" s="2227"/>
      <c r="AF50" s="2227"/>
      <c r="AG50" s="2227"/>
      <c r="AH50" s="2227"/>
      <c r="AI50" s="2227"/>
      <c r="AJ50" s="2227"/>
      <c r="AK50" s="2227"/>
      <c r="AL50" s="2227"/>
      <c r="AM50" s="2227"/>
      <c r="AN50" s="2227"/>
      <c r="AO50" s="2228"/>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89" t="s">
        <v>1817</v>
      </c>
      <c r="C51" s="2190"/>
      <c r="D51" s="2190"/>
      <c r="E51" s="2190"/>
      <c r="F51" s="2190"/>
      <c r="G51" s="2190"/>
      <c r="H51" s="2190"/>
      <c r="I51" s="2190"/>
      <c r="J51" s="2190" t="s">
        <v>2477</v>
      </c>
      <c r="K51" s="2190"/>
      <c r="L51" s="2190"/>
      <c r="M51" s="2190"/>
      <c r="N51" s="2190"/>
      <c r="O51" s="2190"/>
      <c r="P51" s="2190"/>
      <c r="Q51" s="2190"/>
      <c r="R51" s="2481" t="s">
        <v>2478</v>
      </c>
      <c r="S51" s="2481"/>
      <c r="T51" s="2481"/>
      <c r="U51" s="2481"/>
      <c r="V51" s="2481"/>
      <c r="W51" s="2481"/>
      <c r="X51" s="2481"/>
      <c r="Y51" s="2481"/>
      <c r="Z51" s="2481" t="s">
        <v>1818</v>
      </c>
      <c r="AA51" s="2481"/>
      <c r="AB51" s="2481"/>
      <c r="AC51" s="2481"/>
      <c r="AD51" s="2481"/>
      <c r="AE51" s="2481"/>
      <c r="AF51" s="2481"/>
      <c r="AG51" s="2481"/>
      <c r="AH51" s="2481" t="s">
        <v>1819</v>
      </c>
      <c r="AI51" s="2481"/>
      <c r="AJ51" s="2481"/>
      <c r="AK51" s="2481"/>
      <c r="AL51" s="2481"/>
      <c r="AM51" s="2481"/>
      <c r="AN51" s="2481"/>
      <c r="AO51" s="2482"/>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29" t="s">
        <v>2185</v>
      </c>
      <c r="C52" s="2230"/>
      <c r="D52" s="2230"/>
      <c r="E52" s="2230"/>
      <c r="F52" s="2230"/>
      <c r="G52" s="2230"/>
      <c r="H52" s="2230"/>
      <c r="I52" s="2230"/>
      <c r="J52" s="2363">
        <v>0</v>
      </c>
      <c r="K52" s="2363"/>
      <c r="L52" s="2363"/>
      <c r="M52" s="2363"/>
      <c r="N52" s="2363"/>
      <c r="O52" s="2363"/>
      <c r="P52" s="2363"/>
      <c r="Q52" s="2363"/>
      <c r="R52" s="2469">
        <v>0</v>
      </c>
      <c r="S52" s="2469"/>
      <c r="T52" s="2469"/>
      <c r="U52" s="2469"/>
      <c r="V52" s="2469"/>
      <c r="W52" s="2469"/>
      <c r="X52" s="2469"/>
      <c r="Y52" s="2469"/>
      <c r="Z52" s="2470">
        <v>0</v>
      </c>
      <c r="AA52" s="2470"/>
      <c r="AB52" s="2470"/>
      <c r="AC52" s="2470"/>
      <c r="AD52" s="2470"/>
      <c r="AE52" s="2470"/>
      <c r="AF52" s="2470"/>
      <c r="AG52" s="2470"/>
      <c r="AH52" s="2471"/>
      <c r="AI52" s="2471"/>
      <c r="AJ52" s="2471"/>
      <c r="AK52" s="2471"/>
      <c r="AL52" s="2471"/>
      <c r="AM52" s="2471"/>
      <c r="AN52" s="2471"/>
      <c r="AO52" s="2472"/>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29" t="s">
        <v>2186</v>
      </c>
      <c r="C53" s="2230"/>
      <c r="D53" s="2230"/>
      <c r="E53" s="2230"/>
      <c r="F53" s="2230"/>
      <c r="G53" s="2230"/>
      <c r="H53" s="2230"/>
      <c r="I53" s="2230"/>
      <c r="J53" s="2363">
        <v>0</v>
      </c>
      <c r="K53" s="2363"/>
      <c r="L53" s="2363"/>
      <c r="M53" s="2363"/>
      <c r="N53" s="2363"/>
      <c r="O53" s="2363"/>
      <c r="P53" s="2363"/>
      <c r="Q53" s="2363"/>
      <c r="R53" s="2469">
        <v>0</v>
      </c>
      <c r="S53" s="2469"/>
      <c r="T53" s="2469"/>
      <c r="U53" s="2469"/>
      <c r="V53" s="2469"/>
      <c r="W53" s="2469"/>
      <c r="X53" s="2469"/>
      <c r="Y53" s="2469"/>
      <c r="Z53" s="2470">
        <v>0</v>
      </c>
      <c r="AA53" s="2470"/>
      <c r="AB53" s="2470"/>
      <c r="AC53" s="2470"/>
      <c r="AD53" s="2470"/>
      <c r="AE53" s="2470"/>
      <c r="AF53" s="2470"/>
      <c r="AG53" s="2470"/>
      <c r="AH53" s="2471"/>
      <c r="AI53" s="2471"/>
      <c r="AJ53" s="2471"/>
      <c r="AK53" s="2471"/>
      <c r="AL53" s="2471"/>
      <c r="AM53" s="2471"/>
      <c r="AN53" s="2471"/>
      <c r="AO53" s="2472"/>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29"/>
      <c r="C54" s="2230"/>
      <c r="D54" s="2230"/>
      <c r="E54" s="2230"/>
      <c r="F54" s="2230"/>
      <c r="G54" s="2230"/>
      <c r="H54" s="2230"/>
      <c r="I54" s="2230"/>
      <c r="J54" s="2363"/>
      <c r="K54" s="2363"/>
      <c r="L54" s="2363"/>
      <c r="M54" s="2363"/>
      <c r="N54" s="2363"/>
      <c r="O54" s="2363"/>
      <c r="P54" s="2363"/>
      <c r="Q54" s="2363"/>
      <c r="R54" s="2469"/>
      <c r="S54" s="2469"/>
      <c r="T54" s="2469"/>
      <c r="U54" s="2469"/>
      <c r="V54" s="2469"/>
      <c r="W54" s="2469"/>
      <c r="X54" s="2469"/>
      <c r="Y54" s="2469"/>
      <c r="Z54" s="2470"/>
      <c r="AA54" s="2470"/>
      <c r="AB54" s="2470"/>
      <c r="AC54" s="2470"/>
      <c r="AD54" s="2470"/>
      <c r="AE54" s="2470"/>
      <c r="AF54" s="2470"/>
      <c r="AG54" s="2470"/>
      <c r="AH54" s="2471"/>
      <c r="AI54" s="2471"/>
      <c r="AJ54" s="2471"/>
      <c r="AK54" s="2471"/>
      <c r="AL54" s="2471"/>
      <c r="AM54" s="2471"/>
      <c r="AN54" s="2471"/>
      <c r="AO54" s="2472"/>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29"/>
      <c r="C55" s="2230"/>
      <c r="D55" s="2230"/>
      <c r="E55" s="2230"/>
      <c r="F55" s="2230"/>
      <c r="G55" s="2230"/>
      <c r="H55" s="2230"/>
      <c r="I55" s="2230"/>
      <c r="J55" s="2363"/>
      <c r="K55" s="2363"/>
      <c r="L55" s="2363"/>
      <c r="M55" s="2363"/>
      <c r="N55" s="2363"/>
      <c r="O55" s="2363"/>
      <c r="P55" s="2363"/>
      <c r="Q55" s="2363"/>
      <c r="R55" s="2469"/>
      <c r="S55" s="2469"/>
      <c r="T55" s="2469"/>
      <c r="U55" s="2469"/>
      <c r="V55" s="2469"/>
      <c r="W55" s="2469"/>
      <c r="X55" s="2469"/>
      <c r="Y55" s="2469"/>
      <c r="Z55" s="2470"/>
      <c r="AA55" s="2470"/>
      <c r="AB55" s="2470"/>
      <c r="AC55" s="2470"/>
      <c r="AD55" s="2470"/>
      <c r="AE55" s="2470"/>
      <c r="AF55" s="2470"/>
      <c r="AG55" s="2470"/>
      <c r="AH55" s="2471"/>
      <c r="AI55" s="2471"/>
      <c r="AJ55" s="2471"/>
      <c r="AK55" s="2471"/>
      <c r="AL55" s="2471"/>
      <c r="AM55" s="2471"/>
      <c r="AN55" s="2471"/>
      <c r="AO55" s="2472"/>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229"/>
      <c r="C56" s="2230"/>
      <c r="D56" s="2230"/>
      <c r="E56" s="2230"/>
      <c r="F56" s="2230"/>
      <c r="G56" s="2230"/>
      <c r="H56" s="2230"/>
      <c r="I56" s="2230"/>
      <c r="J56" s="2363"/>
      <c r="K56" s="2363"/>
      <c r="L56" s="2363"/>
      <c r="M56" s="2363"/>
      <c r="N56" s="2363"/>
      <c r="O56" s="2363"/>
      <c r="P56" s="2363"/>
      <c r="Q56" s="2363"/>
      <c r="R56" s="2469"/>
      <c r="S56" s="2469"/>
      <c r="T56" s="2469"/>
      <c r="U56" s="2469"/>
      <c r="V56" s="2469"/>
      <c r="W56" s="2469"/>
      <c r="X56" s="2469"/>
      <c r="Y56" s="2469"/>
      <c r="Z56" s="2470"/>
      <c r="AA56" s="2470"/>
      <c r="AB56" s="2470"/>
      <c r="AC56" s="2470"/>
      <c r="AD56" s="2470"/>
      <c r="AE56" s="2470"/>
      <c r="AF56" s="2470"/>
      <c r="AG56" s="2470"/>
      <c r="AH56" s="2471"/>
      <c r="AI56" s="2471"/>
      <c r="AJ56" s="2471"/>
      <c r="AK56" s="2471"/>
      <c r="AL56" s="2471"/>
      <c r="AM56" s="2471"/>
      <c r="AN56" s="2471"/>
      <c r="AO56" s="2472"/>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83" t="s">
        <v>1698</v>
      </c>
      <c r="C57" s="2184"/>
      <c r="D57" s="2184"/>
      <c r="E57" s="2184"/>
      <c r="F57" s="2184"/>
      <c r="G57" s="2184"/>
      <c r="H57" s="2184"/>
      <c r="I57" s="2184"/>
      <c r="J57" s="2184"/>
      <c r="K57" s="2184"/>
      <c r="L57" s="2184"/>
      <c r="M57" s="2184"/>
      <c r="N57" s="2184"/>
      <c r="O57" s="2184"/>
      <c r="P57" s="2184"/>
      <c r="Q57" s="2184"/>
      <c r="R57" s="2473">
        <f>SUM(R52:Y56)</f>
        <v>0</v>
      </c>
      <c r="S57" s="2473"/>
      <c r="T57" s="2473"/>
      <c r="U57" s="2473"/>
      <c r="V57" s="2473"/>
      <c r="W57" s="2473"/>
      <c r="X57" s="2473"/>
      <c r="Y57" s="2473"/>
      <c r="Z57" s="2474">
        <f>SUM(Z52:AG56)</f>
        <v>0</v>
      </c>
      <c r="AA57" s="2474"/>
      <c r="AB57" s="2474"/>
      <c r="AC57" s="2474"/>
      <c r="AD57" s="2474"/>
      <c r="AE57" s="2474"/>
      <c r="AF57" s="2474"/>
      <c r="AG57" s="2474"/>
      <c r="AH57" s="2475"/>
      <c r="AI57" s="2475"/>
      <c r="AJ57" s="2475"/>
      <c r="AK57" s="2475"/>
      <c r="AL57" s="2475"/>
      <c r="AM57" s="2475"/>
      <c r="AN57" s="2475"/>
      <c r="AO57" s="2476"/>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77" t="s">
        <v>1817</v>
      </c>
      <c r="C59" s="2478"/>
      <c r="D59" s="2478"/>
      <c r="E59" s="2478"/>
      <c r="F59" s="2478"/>
      <c r="G59" s="2478"/>
      <c r="H59" s="2478"/>
      <c r="I59" s="2479"/>
      <c r="J59" s="2443" t="s">
        <v>2479</v>
      </c>
      <c r="K59" s="2443"/>
      <c r="L59" s="2443"/>
      <c r="M59" s="2443"/>
      <c r="N59" s="2443"/>
      <c r="O59" s="2443"/>
      <c r="P59" s="2443"/>
      <c r="Q59" s="2443"/>
      <c r="R59" s="2443"/>
      <c r="S59" s="2443"/>
      <c r="T59" s="2443"/>
      <c r="U59" s="2443"/>
      <c r="V59" s="2443"/>
      <c r="W59" s="2443"/>
      <c r="X59" s="2443"/>
      <c r="Y59" s="2443"/>
      <c r="Z59" s="2443"/>
      <c r="AA59" s="2443"/>
      <c r="AB59" s="2443"/>
      <c r="AC59" s="2443"/>
      <c r="AD59" s="2443"/>
      <c r="AE59" s="2443"/>
      <c r="AF59" s="2443"/>
      <c r="AG59" s="2443"/>
      <c r="AH59" s="2443"/>
      <c r="AI59" s="2443"/>
      <c r="AJ59" s="2443"/>
      <c r="AK59" s="2443"/>
      <c r="AL59" s="2443"/>
      <c r="AM59" s="2443"/>
      <c r="AN59" s="2443"/>
      <c r="AO59" s="2443"/>
      <c r="AP59" s="2443"/>
      <c r="AQ59" s="2443"/>
      <c r="AR59" s="2443"/>
      <c r="AS59" s="2443"/>
      <c r="AT59" s="2443"/>
      <c r="AU59" s="2443"/>
      <c r="AV59" s="2443"/>
      <c r="AW59" s="2444"/>
      <c r="AX59" s="1206"/>
      <c r="AY59" s="1206"/>
      <c r="AZ59" s="1206"/>
      <c r="BA59" s="1206"/>
      <c r="BB59" s="1206"/>
      <c r="BC59" s="1206"/>
      <c r="BD59" s="1206"/>
      <c r="BE59" s="1202"/>
    </row>
    <row r="60" spans="1:58" ht="15.75" customHeight="1">
      <c r="A60" s="1206"/>
      <c r="B60" s="2462" t="str">
        <f>IF(B52="", "", B52)</f>
        <v>Services Company 1</v>
      </c>
      <c r="C60" s="2463"/>
      <c r="D60" s="2463"/>
      <c r="E60" s="2463"/>
      <c r="F60" s="2463"/>
      <c r="G60" s="2463"/>
      <c r="H60" s="2463"/>
      <c r="I60" s="2464"/>
      <c r="J60" s="2465"/>
      <c r="K60" s="2366"/>
      <c r="L60" s="2366"/>
      <c r="M60" s="2366"/>
      <c r="N60" s="2366"/>
      <c r="O60" s="2366"/>
      <c r="P60" s="2366"/>
      <c r="Q60" s="2366"/>
      <c r="R60" s="2366"/>
      <c r="S60" s="2366"/>
      <c r="T60" s="2366"/>
      <c r="U60" s="2366"/>
      <c r="V60" s="2366"/>
      <c r="W60" s="2366"/>
      <c r="X60" s="2366"/>
      <c r="Y60" s="2366"/>
      <c r="Z60" s="2366"/>
      <c r="AA60" s="2366"/>
      <c r="AB60" s="2366"/>
      <c r="AC60" s="2366"/>
      <c r="AD60" s="2366"/>
      <c r="AE60" s="2366"/>
      <c r="AF60" s="2366"/>
      <c r="AG60" s="2366"/>
      <c r="AH60" s="2366"/>
      <c r="AI60" s="2366"/>
      <c r="AJ60" s="2366"/>
      <c r="AK60" s="2366"/>
      <c r="AL60" s="2366"/>
      <c r="AM60" s="2366"/>
      <c r="AN60" s="2366"/>
      <c r="AO60" s="2366"/>
      <c r="AP60" s="2366"/>
      <c r="AQ60" s="2366"/>
      <c r="AR60" s="2366"/>
      <c r="AS60" s="2366"/>
      <c r="AT60" s="2366"/>
      <c r="AU60" s="2366"/>
      <c r="AV60" s="2366"/>
      <c r="AW60" s="2367"/>
      <c r="AX60" s="1206"/>
      <c r="AY60" s="1206"/>
      <c r="AZ60" s="1206"/>
      <c r="BA60" s="1206"/>
      <c r="BB60" s="1206"/>
      <c r="BC60" s="1206"/>
      <c r="BD60" s="1206"/>
      <c r="BE60" s="1202"/>
    </row>
    <row r="61" spans="1:58" ht="15.75" customHeight="1">
      <c r="A61" s="1206"/>
      <c r="B61" s="2462" t="str">
        <f>IF(B53="", "", B53)</f>
        <v>Services Company 2</v>
      </c>
      <c r="C61" s="2463"/>
      <c r="D61" s="2463"/>
      <c r="E61" s="2463"/>
      <c r="F61" s="2463"/>
      <c r="G61" s="2463"/>
      <c r="H61" s="2463"/>
      <c r="I61" s="2464"/>
      <c r="J61" s="2465"/>
      <c r="K61" s="2366"/>
      <c r="L61" s="2366"/>
      <c r="M61" s="2366"/>
      <c r="N61" s="2366"/>
      <c r="O61" s="2366"/>
      <c r="P61" s="2366"/>
      <c r="Q61" s="2366"/>
      <c r="R61" s="2366"/>
      <c r="S61" s="2366"/>
      <c r="T61" s="2366"/>
      <c r="U61" s="2366"/>
      <c r="V61" s="2366"/>
      <c r="W61" s="2366"/>
      <c r="X61" s="2366"/>
      <c r="Y61" s="2366"/>
      <c r="Z61" s="2366"/>
      <c r="AA61" s="2366"/>
      <c r="AB61" s="2366"/>
      <c r="AC61" s="2366"/>
      <c r="AD61" s="2366"/>
      <c r="AE61" s="2366"/>
      <c r="AF61" s="2366"/>
      <c r="AG61" s="2366"/>
      <c r="AH61" s="2366"/>
      <c r="AI61" s="2366"/>
      <c r="AJ61" s="2366"/>
      <c r="AK61" s="2366"/>
      <c r="AL61" s="2366"/>
      <c r="AM61" s="2366"/>
      <c r="AN61" s="2366"/>
      <c r="AO61" s="2366"/>
      <c r="AP61" s="2366"/>
      <c r="AQ61" s="2366"/>
      <c r="AR61" s="2366"/>
      <c r="AS61" s="2366"/>
      <c r="AT61" s="2366"/>
      <c r="AU61" s="2366"/>
      <c r="AV61" s="2366"/>
      <c r="AW61" s="2367"/>
      <c r="AX61" s="1206"/>
      <c r="AY61" s="1206"/>
      <c r="AZ61" s="1206"/>
      <c r="BA61" s="1206"/>
      <c r="BB61" s="1206"/>
      <c r="BC61" s="1206"/>
      <c r="BD61" s="1206"/>
      <c r="BE61" s="1202"/>
    </row>
    <row r="62" spans="1:58" ht="15.75" customHeight="1">
      <c r="A62" s="1206"/>
      <c r="B62" s="2462" t="str">
        <f>IF(B54="", "", B54)</f>
        <v/>
      </c>
      <c r="C62" s="2463"/>
      <c r="D62" s="2463"/>
      <c r="E62" s="2463"/>
      <c r="F62" s="2463"/>
      <c r="G62" s="2463"/>
      <c r="H62" s="2463"/>
      <c r="I62" s="2464"/>
      <c r="J62" s="2465"/>
      <c r="K62" s="2366"/>
      <c r="L62" s="2366"/>
      <c r="M62" s="2366"/>
      <c r="N62" s="2366"/>
      <c r="O62" s="2366"/>
      <c r="P62" s="2366"/>
      <c r="Q62" s="2366"/>
      <c r="R62" s="2366"/>
      <c r="S62" s="2366"/>
      <c r="T62" s="2366"/>
      <c r="U62" s="2366"/>
      <c r="V62" s="2366"/>
      <c r="W62" s="2366"/>
      <c r="X62" s="2366"/>
      <c r="Y62" s="2366"/>
      <c r="Z62" s="2366"/>
      <c r="AA62" s="2366"/>
      <c r="AB62" s="2366"/>
      <c r="AC62" s="2366"/>
      <c r="AD62" s="2366"/>
      <c r="AE62" s="2366"/>
      <c r="AF62" s="2366"/>
      <c r="AG62" s="2366"/>
      <c r="AH62" s="2366"/>
      <c r="AI62" s="2366"/>
      <c r="AJ62" s="2366"/>
      <c r="AK62" s="2366"/>
      <c r="AL62" s="2366"/>
      <c r="AM62" s="2366"/>
      <c r="AN62" s="2366"/>
      <c r="AO62" s="2366"/>
      <c r="AP62" s="2366"/>
      <c r="AQ62" s="2366"/>
      <c r="AR62" s="2366"/>
      <c r="AS62" s="2366"/>
      <c r="AT62" s="2366"/>
      <c r="AU62" s="2366"/>
      <c r="AV62" s="2366"/>
      <c r="AW62" s="2367"/>
      <c r="AX62" s="1206"/>
      <c r="AY62" s="1206"/>
      <c r="AZ62" s="1206"/>
      <c r="BA62" s="1206"/>
      <c r="BB62" s="1206"/>
      <c r="BC62" s="1206"/>
      <c r="BD62" s="1206"/>
      <c r="BE62" s="1202"/>
    </row>
    <row r="63" spans="1:58" ht="15.75" customHeight="1">
      <c r="A63" s="1206"/>
      <c r="B63" s="2462" t="str">
        <f>IF(B55="", "", B55)</f>
        <v/>
      </c>
      <c r="C63" s="2463"/>
      <c r="D63" s="2463"/>
      <c r="E63" s="2463"/>
      <c r="F63" s="2463"/>
      <c r="G63" s="2463"/>
      <c r="H63" s="2463"/>
      <c r="I63" s="2464"/>
      <c r="J63" s="2465"/>
      <c r="K63" s="2366"/>
      <c r="L63" s="2366"/>
      <c r="M63" s="2366"/>
      <c r="N63" s="2366"/>
      <c r="O63" s="2366"/>
      <c r="P63" s="2366"/>
      <c r="Q63" s="2366"/>
      <c r="R63" s="2366"/>
      <c r="S63" s="2366"/>
      <c r="T63" s="2366"/>
      <c r="U63" s="2366"/>
      <c r="V63" s="2366"/>
      <c r="W63" s="2366"/>
      <c r="X63" s="2366"/>
      <c r="Y63" s="2366"/>
      <c r="Z63" s="2366"/>
      <c r="AA63" s="2366"/>
      <c r="AB63" s="2366"/>
      <c r="AC63" s="2366"/>
      <c r="AD63" s="2366"/>
      <c r="AE63" s="2366"/>
      <c r="AF63" s="2366"/>
      <c r="AG63" s="2366"/>
      <c r="AH63" s="2366"/>
      <c r="AI63" s="2366"/>
      <c r="AJ63" s="2366"/>
      <c r="AK63" s="2366"/>
      <c r="AL63" s="2366"/>
      <c r="AM63" s="2366"/>
      <c r="AN63" s="2366"/>
      <c r="AO63" s="2366"/>
      <c r="AP63" s="2366"/>
      <c r="AQ63" s="2366"/>
      <c r="AR63" s="2366"/>
      <c r="AS63" s="2366"/>
      <c r="AT63" s="2366"/>
      <c r="AU63" s="2366"/>
      <c r="AV63" s="2366"/>
      <c r="AW63" s="2367"/>
      <c r="AX63" s="1206"/>
      <c r="AY63" s="1206"/>
      <c r="AZ63" s="1206"/>
      <c r="BA63" s="1206"/>
      <c r="BB63" s="1206"/>
      <c r="BC63" s="1206"/>
      <c r="BD63" s="1206"/>
      <c r="BE63" s="1202"/>
    </row>
    <row r="64" spans="1:58" ht="15.75" customHeight="1" thickBot="1">
      <c r="A64" s="1206"/>
      <c r="B64" s="2466" t="str">
        <f>IF(B56="", "", B56)</f>
        <v/>
      </c>
      <c r="C64" s="2467"/>
      <c r="D64" s="2467"/>
      <c r="E64" s="2467"/>
      <c r="F64" s="2467"/>
      <c r="G64" s="2467"/>
      <c r="H64" s="2467"/>
      <c r="I64" s="2468"/>
      <c r="J64" s="2480"/>
      <c r="K64" s="2460"/>
      <c r="L64" s="2460"/>
      <c r="M64" s="2460"/>
      <c r="N64" s="2460"/>
      <c r="O64" s="2460"/>
      <c r="P64" s="2460"/>
      <c r="Q64" s="2460"/>
      <c r="R64" s="2460"/>
      <c r="S64" s="2460"/>
      <c r="T64" s="2460"/>
      <c r="U64" s="2460"/>
      <c r="V64" s="2460"/>
      <c r="W64" s="2460"/>
      <c r="X64" s="2460"/>
      <c r="Y64" s="2460"/>
      <c r="Z64" s="2460"/>
      <c r="AA64" s="2460"/>
      <c r="AB64" s="2460"/>
      <c r="AC64" s="2460"/>
      <c r="AD64" s="2460"/>
      <c r="AE64" s="2460"/>
      <c r="AF64" s="2460"/>
      <c r="AG64" s="2460"/>
      <c r="AH64" s="2460"/>
      <c r="AI64" s="2460"/>
      <c r="AJ64" s="2460"/>
      <c r="AK64" s="2460"/>
      <c r="AL64" s="2460"/>
      <c r="AM64" s="2460"/>
      <c r="AN64" s="2460"/>
      <c r="AO64" s="2460"/>
      <c r="AP64" s="2460"/>
      <c r="AQ64" s="2460"/>
      <c r="AR64" s="2460"/>
      <c r="AS64" s="2460"/>
      <c r="AT64" s="2460"/>
      <c r="AU64" s="2460"/>
      <c r="AV64" s="2460"/>
      <c r="AW64" s="2461"/>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1820</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42" t="s">
        <v>1821</v>
      </c>
      <c r="C68" s="2443"/>
      <c r="D68" s="2443"/>
      <c r="E68" s="2443"/>
      <c r="F68" s="2443"/>
      <c r="G68" s="2443"/>
      <c r="H68" s="2443"/>
      <c r="I68" s="2443"/>
      <c r="J68" s="2443"/>
      <c r="K68" s="2443"/>
      <c r="L68" s="2443"/>
      <c r="M68" s="2443"/>
      <c r="N68" s="2443"/>
      <c r="O68" s="2443"/>
      <c r="P68" s="2443"/>
      <c r="Q68" s="2443"/>
      <c r="R68" s="2443"/>
      <c r="S68" s="2443"/>
      <c r="T68" s="2443"/>
      <c r="U68" s="2443"/>
      <c r="V68" s="2443"/>
      <c r="W68" s="2443"/>
      <c r="X68" s="2443"/>
      <c r="Y68" s="2443"/>
      <c r="Z68" s="2443"/>
      <c r="AA68" s="2444"/>
      <c r="AB68" s="1206"/>
      <c r="AC68" s="2194" t="s">
        <v>1822</v>
      </c>
      <c r="AD68" s="2195"/>
      <c r="AE68" s="2195"/>
      <c r="AF68" s="2195"/>
      <c r="AG68" s="2195"/>
      <c r="AH68" s="2195"/>
      <c r="AI68" s="2195"/>
      <c r="AJ68" s="2195"/>
      <c r="AK68" s="2195"/>
      <c r="AL68" s="2195"/>
      <c r="AM68" s="2195"/>
      <c r="AN68" s="2195"/>
      <c r="AO68" s="2195"/>
      <c r="AP68" s="2195"/>
      <c r="AQ68" s="2195"/>
      <c r="AR68" s="2195"/>
      <c r="AS68" s="2195"/>
      <c r="AT68" s="2195"/>
      <c r="AU68" s="2195"/>
      <c r="AV68" s="2245" t="s">
        <v>678</v>
      </c>
      <c r="AW68" s="2246"/>
      <c r="AX68" s="2246"/>
      <c r="AY68" s="2246"/>
      <c r="AZ68" s="2246"/>
      <c r="BA68" s="2246"/>
      <c r="BB68" s="2246"/>
      <c r="BC68" s="2247"/>
      <c r="BD68" s="1206"/>
      <c r="BE68" s="1202"/>
      <c r="BM68" s="1251" t="s">
        <v>2480</v>
      </c>
    </row>
    <row r="69" spans="1:65" ht="15.75" customHeight="1" thickTop="1" thickBot="1">
      <c r="A69" s="1206"/>
      <c r="B69" s="2248" t="s">
        <v>1823</v>
      </c>
      <c r="C69" s="2249"/>
      <c r="D69" s="2249"/>
      <c r="E69" s="2249"/>
      <c r="F69" s="2249"/>
      <c r="G69" s="2249"/>
      <c r="H69" s="2249"/>
      <c r="I69" s="2249"/>
      <c r="J69" s="2249"/>
      <c r="K69" s="2249"/>
      <c r="L69" s="2249"/>
      <c r="M69" s="2249"/>
      <c r="N69" s="2249"/>
      <c r="O69" s="2250" t="s">
        <v>1824</v>
      </c>
      <c r="P69" s="2251"/>
      <c r="Q69" s="2251"/>
      <c r="R69" s="2251"/>
      <c r="S69" s="2251"/>
      <c r="T69" s="2251"/>
      <c r="U69" s="2251"/>
      <c r="V69" s="2251"/>
      <c r="W69" s="2251"/>
      <c r="X69" s="2251"/>
      <c r="Y69" s="2251"/>
      <c r="Z69" s="2251"/>
      <c r="AA69" s="2252"/>
      <c r="AB69" s="1206"/>
      <c r="AC69" s="2253" t="s">
        <v>1825</v>
      </c>
      <c r="AD69" s="2254"/>
      <c r="AE69" s="2254"/>
      <c r="AF69" s="2254"/>
      <c r="AG69" s="2254"/>
      <c r="AH69" s="2254"/>
      <c r="AI69" s="2254"/>
      <c r="AJ69" s="2254"/>
      <c r="AK69" s="2254"/>
      <c r="AL69" s="2254"/>
      <c r="AM69" s="2254"/>
      <c r="AN69" s="2254"/>
      <c r="AO69" s="2254"/>
      <c r="AP69" s="2254"/>
      <c r="AQ69" s="2254"/>
      <c r="AR69" s="2254"/>
      <c r="AS69" s="2254"/>
      <c r="AT69" s="2254"/>
      <c r="AU69" s="2254"/>
      <c r="AV69" s="2255"/>
      <c r="AW69" s="2256"/>
      <c r="AX69" s="2256"/>
      <c r="AY69" s="2256"/>
      <c r="AZ69" s="2256"/>
      <c r="BA69" s="2256"/>
      <c r="BB69" s="2256"/>
      <c r="BC69" s="2257"/>
      <c r="BD69" s="1206"/>
      <c r="BE69" s="1202"/>
      <c r="BM69" s="1250" t="s">
        <v>554</v>
      </c>
    </row>
    <row r="70" spans="1:65" ht="15.75" customHeight="1">
      <c r="A70" s="1206"/>
      <c r="B70" s="2258" t="s">
        <v>2481</v>
      </c>
      <c r="C70" s="2259"/>
      <c r="D70" s="2259"/>
      <c r="E70" s="2259"/>
      <c r="F70" s="2259"/>
      <c r="G70" s="2259"/>
      <c r="H70" s="2259"/>
      <c r="I70" s="2259"/>
      <c r="J70" s="2259"/>
      <c r="K70" s="2259"/>
      <c r="L70" s="2259"/>
      <c r="M70" s="2259"/>
      <c r="N70" s="2259"/>
      <c r="O70" s="2223">
        <v>0</v>
      </c>
      <c r="P70" s="2223"/>
      <c r="Q70" s="2223"/>
      <c r="R70" s="2223"/>
      <c r="S70" s="2223"/>
      <c r="T70" s="2223"/>
      <c r="U70" s="2223"/>
      <c r="V70" s="2223"/>
      <c r="W70" s="2223"/>
      <c r="X70" s="2223"/>
      <c r="Y70" s="2223"/>
      <c r="Z70" s="2223"/>
      <c r="AA70" s="2224"/>
      <c r="AB70" s="1206"/>
      <c r="AC70" s="2431" t="s">
        <v>1826</v>
      </c>
      <c r="AD70" s="2227"/>
      <c r="AE70" s="2227"/>
      <c r="AF70" s="2456"/>
      <c r="AG70" s="2456"/>
      <c r="AH70" s="2456"/>
      <c r="AI70" s="2456"/>
      <c r="AJ70" s="2456"/>
      <c r="AK70" s="2456"/>
      <c r="AL70" s="2456"/>
      <c r="AM70" s="2456"/>
      <c r="AN70" s="2456"/>
      <c r="AO70" s="2456"/>
      <c r="AP70" s="2456"/>
      <c r="AQ70" s="2456"/>
      <c r="AR70" s="2456"/>
      <c r="AS70" s="2456"/>
      <c r="AT70" s="2456"/>
      <c r="AU70" s="2457"/>
      <c r="AV70" s="1206"/>
      <c r="AW70" s="1206"/>
      <c r="AX70" s="1206"/>
      <c r="AY70" s="1206"/>
      <c r="AZ70" s="1206"/>
      <c r="BA70" s="1206"/>
      <c r="BB70" s="1206"/>
      <c r="BC70" s="1206"/>
      <c r="BD70" s="1206"/>
      <c r="BE70" s="1202"/>
      <c r="BM70" s="1249" t="s">
        <v>678</v>
      </c>
    </row>
    <row r="71" spans="1:65" ht="15.75" customHeight="1" thickBot="1">
      <c r="A71" s="1206"/>
      <c r="B71" s="2258" t="s">
        <v>2482</v>
      </c>
      <c r="C71" s="2259"/>
      <c r="D71" s="2259"/>
      <c r="E71" s="2259"/>
      <c r="F71" s="2259"/>
      <c r="G71" s="2259"/>
      <c r="H71" s="2259"/>
      <c r="I71" s="2259"/>
      <c r="J71" s="2259"/>
      <c r="K71" s="2259"/>
      <c r="L71" s="2259"/>
      <c r="M71" s="2259"/>
      <c r="N71" s="2259"/>
      <c r="O71" s="2223">
        <v>0</v>
      </c>
      <c r="P71" s="2223"/>
      <c r="Q71" s="2223"/>
      <c r="R71" s="2223"/>
      <c r="S71" s="2223"/>
      <c r="T71" s="2223"/>
      <c r="U71" s="2223"/>
      <c r="V71" s="2223"/>
      <c r="W71" s="2223"/>
      <c r="X71" s="2223"/>
      <c r="Y71" s="2223"/>
      <c r="Z71" s="2223"/>
      <c r="AA71" s="2224"/>
      <c r="AB71" s="1206"/>
      <c r="AC71" s="2458" t="s">
        <v>1827</v>
      </c>
      <c r="AD71" s="2459"/>
      <c r="AE71" s="2459"/>
      <c r="AF71" s="2460"/>
      <c r="AG71" s="2460"/>
      <c r="AH71" s="2460"/>
      <c r="AI71" s="2460"/>
      <c r="AJ71" s="2460"/>
      <c r="AK71" s="2460"/>
      <c r="AL71" s="2460"/>
      <c r="AM71" s="2460"/>
      <c r="AN71" s="2460"/>
      <c r="AO71" s="2460"/>
      <c r="AP71" s="2460"/>
      <c r="AQ71" s="2460"/>
      <c r="AR71" s="2460"/>
      <c r="AS71" s="2460"/>
      <c r="AT71" s="2460"/>
      <c r="AU71" s="2461"/>
      <c r="AV71" s="1206"/>
      <c r="AW71" s="1206"/>
      <c r="AX71" s="1206"/>
      <c r="AY71" s="1206"/>
      <c r="AZ71" s="1206"/>
      <c r="BA71" s="1206"/>
      <c r="BB71" s="1206"/>
      <c r="BC71" s="1206"/>
      <c r="BD71" s="1206"/>
      <c r="BE71" s="1202"/>
      <c r="BM71" s="1197" t="s">
        <v>2483</v>
      </c>
    </row>
    <row r="72" spans="1:65" ht="15.75" customHeight="1">
      <c r="A72" s="1206"/>
      <c r="B72" s="2258" t="s">
        <v>2484</v>
      </c>
      <c r="C72" s="2259"/>
      <c r="D72" s="2259"/>
      <c r="E72" s="2259"/>
      <c r="F72" s="2259"/>
      <c r="G72" s="2259"/>
      <c r="H72" s="2259"/>
      <c r="I72" s="2259"/>
      <c r="J72" s="2259"/>
      <c r="K72" s="2259"/>
      <c r="L72" s="2259"/>
      <c r="M72" s="2259"/>
      <c r="N72" s="2259"/>
      <c r="O72" s="2223">
        <v>0</v>
      </c>
      <c r="P72" s="2223"/>
      <c r="Q72" s="2223"/>
      <c r="R72" s="2223"/>
      <c r="S72" s="2223"/>
      <c r="T72" s="2223"/>
      <c r="U72" s="2223"/>
      <c r="V72" s="2223"/>
      <c r="W72" s="2223"/>
      <c r="X72" s="2223"/>
      <c r="Y72" s="2223"/>
      <c r="Z72" s="2223"/>
      <c r="AA72" s="2224"/>
      <c r="AB72" s="1206"/>
      <c r="AC72" s="2225" t="s">
        <v>2485</v>
      </c>
      <c r="AD72" s="2226"/>
      <c r="AE72" s="2226"/>
      <c r="AF72" s="2226"/>
      <c r="AG72" s="2226"/>
      <c r="AH72" s="2226"/>
      <c r="AI72" s="2226"/>
      <c r="AJ72" s="2226"/>
      <c r="AK72" s="2226"/>
      <c r="AL72" s="2226"/>
      <c r="AM72" s="2226"/>
      <c r="AN72" s="2226"/>
      <c r="AO72" s="2226"/>
      <c r="AP72" s="2226"/>
      <c r="AQ72" s="2226"/>
      <c r="AR72" s="2226"/>
      <c r="AS72" s="2226"/>
      <c r="AT72" s="2226"/>
      <c r="AU72" s="2226"/>
      <c r="AV72" s="2227"/>
      <c r="AW72" s="2227"/>
      <c r="AX72" s="2227"/>
      <c r="AY72" s="2227"/>
      <c r="AZ72" s="2227"/>
      <c r="BA72" s="2227"/>
      <c r="BB72" s="2227"/>
      <c r="BC72" s="2228"/>
      <c r="BD72" s="1206"/>
      <c r="BE72" s="1202"/>
    </row>
    <row r="73" spans="1:65" ht="15.75" customHeight="1">
      <c r="A73" s="1206"/>
      <c r="B73" s="2229" t="s">
        <v>2486</v>
      </c>
      <c r="C73" s="2230"/>
      <c r="D73" s="2230"/>
      <c r="E73" s="2230"/>
      <c r="F73" s="2230"/>
      <c r="G73" s="2230"/>
      <c r="H73" s="2230"/>
      <c r="I73" s="2230"/>
      <c r="J73" s="2230"/>
      <c r="K73" s="2230"/>
      <c r="L73" s="2230"/>
      <c r="M73" s="2230"/>
      <c r="N73" s="2230"/>
      <c r="O73" s="2223">
        <v>0</v>
      </c>
      <c r="P73" s="2223"/>
      <c r="Q73" s="2223"/>
      <c r="R73" s="2223"/>
      <c r="S73" s="2223"/>
      <c r="T73" s="2223"/>
      <c r="U73" s="2223"/>
      <c r="V73" s="2223"/>
      <c r="W73" s="2223"/>
      <c r="X73" s="2223"/>
      <c r="Y73" s="2223"/>
      <c r="Z73" s="2223"/>
      <c r="AA73" s="2224"/>
      <c r="AB73" s="1206"/>
      <c r="AC73" s="2413" t="s">
        <v>2187</v>
      </c>
      <c r="AD73" s="2414"/>
      <c r="AE73" s="2414"/>
      <c r="AF73" s="2414"/>
      <c r="AG73" s="2414"/>
      <c r="AH73" s="2414"/>
      <c r="AI73" s="2414"/>
      <c r="AJ73" s="2414"/>
      <c r="AK73" s="2414"/>
      <c r="AL73" s="2414"/>
      <c r="AM73" s="2414"/>
      <c r="AN73" s="2414"/>
      <c r="AO73" s="2414"/>
      <c r="AP73" s="2414"/>
      <c r="AQ73" s="2414"/>
      <c r="AR73" s="2414"/>
      <c r="AS73" s="2414"/>
      <c r="AT73" s="2414"/>
      <c r="AU73" s="2414"/>
      <c r="AV73" s="2414"/>
      <c r="AW73" s="2414"/>
      <c r="AX73" s="2414"/>
      <c r="AY73" s="2414"/>
      <c r="AZ73" s="2414"/>
      <c r="BA73" s="2414"/>
      <c r="BB73" s="2414"/>
      <c r="BC73" s="2415"/>
      <c r="BD73" s="1206"/>
      <c r="BE73" s="1202"/>
    </row>
    <row r="74" spans="1:65" ht="15.75" customHeight="1">
      <c r="A74" s="1206"/>
      <c r="B74" s="2362"/>
      <c r="C74" s="2363"/>
      <c r="D74" s="2363"/>
      <c r="E74" s="2363"/>
      <c r="F74" s="2363"/>
      <c r="G74" s="2363"/>
      <c r="H74" s="2363"/>
      <c r="I74" s="2363"/>
      <c r="J74" s="2363"/>
      <c r="K74" s="2363"/>
      <c r="L74" s="2363"/>
      <c r="M74" s="2363"/>
      <c r="N74" s="2363"/>
      <c r="O74" s="2223"/>
      <c r="P74" s="2223"/>
      <c r="Q74" s="2223"/>
      <c r="R74" s="2223"/>
      <c r="S74" s="2223"/>
      <c r="T74" s="2223"/>
      <c r="U74" s="2223"/>
      <c r="V74" s="2223"/>
      <c r="W74" s="2223"/>
      <c r="X74" s="2223"/>
      <c r="Y74" s="2223"/>
      <c r="Z74" s="2223"/>
      <c r="AA74" s="2224"/>
      <c r="AB74" s="1206"/>
      <c r="AC74" s="2413"/>
      <c r="AD74" s="2414"/>
      <c r="AE74" s="2414"/>
      <c r="AF74" s="2414"/>
      <c r="AG74" s="2414"/>
      <c r="AH74" s="2414"/>
      <c r="AI74" s="2414"/>
      <c r="AJ74" s="2414"/>
      <c r="AK74" s="2414"/>
      <c r="AL74" s="2414"/>
      <c r="AM74" s="2414"/>
      <c r="AN74" s="2414"/>
      <c r="AO74" s="2414"/>
      <c r="AP74" s="2414"/>
      <c r="AQ74" s="2414"/>
      <c r="AR74" s="2414"/>
      <c r="AS74" s="2414"/>
      <c r="AT74" s="2414"/>
      <c r="AU74" s="2414"/>
      <c r="AV74" s="2414"/>
      <c r="AW74" s="2414"/>
      <c r="AX74" s="2414"/>
      <c r="AY74" s="2414"/>
      <c r="AZ74" s="2414"/>
      <c r="BA74" s="2414"/>
      <c r="BB74" s="2414"/>
      <c r="BC74" s="2415"/>
      <c r="BD74" s="1206"/>
      <c r="BE74" s="1202"/>
    </row>
    <row r="75" spans="1:65" ht="15.75" customHeight="1" thickBot="1">
      <c r="A75" s="1206"/>
      <c r="B75" s="2454" t="s">
        <v>124</v>
      </c>
      <c r="C75" s="2455"/>
      <c r="D75" s="2455"/>
      <c r="E75" s="2455"/>
      <c r="F75" s="2455"/>
      <c r="G75" s="2455"/>
      <c r="H75" s="2455"/>
      <c r="I75" s="2455"/>
      <c r="J75" s="2455"/>
      <c r="K75" s="2455"/>
      <c r="L75" s="2455"/>
      <c r="M75" s="2455"/>
      <c r="N75" s="2455"/>
      <c r="O75" s="2231">
        <f>SUM(O70:AA74)</f>
        <v>0</v>
      </c>
      <c r="P75" s="2231"/>
      <c r="Q75" s="2231"/>
      <c r="R75" s="2231"/>
      <c r="S75" s="2231"/>
      <c r="T75" s="2231"/>
      <c r="U75" s="2231"/>
      <c r="V75" s="2231"/>
      <c r="W75" s="2231"/>
      <c r="X75" s="2231"/>
      <c r="Y75" s="2231"/>
      <c r="Z75" s="2231"/>
      <c r="AA75" s="2232"/>
      <c r="AB75" s="1206"/>
      <c r="AC75" s="2413"/>
      <c r="AD75" s="2414"/>
      <c r="AE75" s="2414"/>
      <c r="AF75" s="2414"/>
      <c r="AG75" s="2414"/>
      <c r="AH75" s="2414"/>
      <c r="AI75" s="2414"/>
      <c r="AJ75" s="2414"/>
      <c r="AK75" s="2414"/>
      <c r="AL75" s="2414"/>
      <c r="AM75" s="2414"/>
      <c r="AN75" s="2414"/>
      <c r="AO75" s="2414"/>
      <c r="AP75" s="2414"/>
      <c r="AQ75" s="2414"/>
      <c r="AR75" s="2414"/>
      <c r="AS75" s="2414"/>
      <c r="AT75" s="2414"/>
      <c r="AU75" s="2414"/>
      <c r="AV75" s="2414"/>
      <c r="AW75" s="2414"/>
      <c r="AX75" s="2414"/>
      <c r="AY75" s="2414"/>
      <c r="AZ75" s="2414"/>
      <c r="BA75" s="2414"/>
      <c r="BB75" s="2414"/>
      <c r="BC75" s="2415"/>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413"/>
      <c r="AD76" s="2414"/>
      <c r="AE76" s="2414"/>
      <c r="AF76" s="2414"/>
      <c r="AG76" s="2414"/>
      <c r="AH76" s="2414"/>
      <c r="AI76" s="2414"/>
      <c r="AJ76" s="2414"/>
      <c r="AK76" s="2414"/>
      <c r="AL76" s="2414"/>
      <c r="AM76" s="2414"/>
      <c r="AN76" s="2414"/>
      <c r="AO76" s="2414"/>
      <c r="AP76" s="2414"/>
      <c r="AQ76" s="2414"/>
      <c r="AR76" s="2414"/>
      <c r="AS76" s="2414"/>
      <c r="AT76" s="2414"/>
      <c r="AU76" s="2414"/>
      <c r="AV76" s="2414"/>
      <c r="AW76" s="2414"/>
      <c r="AX76" s="2414"/>
      <c r="AY76" s="2414"/>
      <c r="AZ76" s="2414"/>
      <c r="BA76" s="2414"/>
      <c r="BB76" s="2414"/>
      <c r="BC76" s="2415"/>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16"/>
      <c r="AD77" s="2417"/>
      <c r="AE77" s="2417"/>
      <c r="AF77" s="2417"/>
      <c r="AG77" s="2417"/>
      <c r="AH77" s="2417"/>
      <c r="AI77" s="2417"/>
      <c r="AJ77" s="2417"/>
      <c r="AK77" s="2417"/>
      <c r="AL77" s="2417"/>
      <c r="AM77" s="2417"/>
      <c r="AN77" s="2417"/>
      <c r="AO77" s="2417"/>
      <c r="AP77" s="2417"/>
      <c r="AQ77" s="2417"/>
      <c r="AR77" s="2417"/>
      <c r="AS77" s="2417"/>
      <c r="AT77" s="2417"/>
      <c r="AU77" s="2417"/>
      <c r="AV77" s="2417"/>
      <c r="AW77" s="2417"/>
      <c r="AX77" s="2417"/>
      <c r="AY77" s="2417"/>
      <c r="AZ77" s="2417"/>
      <c r="BA77" s="2417"/>
      <c r="BB77" s="2417"/>
      <c r="BC77" s="2418"/>
      <c r="BD77" s="1206"/>
      <c r="BE77" s="1202"/>
    </row>
    <row r="78" spans="1:65" ht="15.75" customHeight="1" thickBot="1">
      <c r="A78" s="1206"/>
      <c r="B78" s="1237" t="s">
        <v>2620</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1862</v>
      </c>
      <c r="C79" s="1236"/>
      <c r="D79" s="1236"/>
      <c r="E79" s="1248"/>
      <c r="F79" s="2243"/>
      <c r="G79" s="2244"/>
      <c r="H79" s="2244"/>
      <c r="I79" s="2244"/>
      <c r="J79" s="2244"/>
      <c r="K79" s="2244"/>
      <c r="L79" s="2244"/>
      <c r="M79" s="2211"/>
      <c r="N79" s="2211"/>
      <c r="O79" s="2211"/>
      <c r="P79" s="2211"/>
      <c r="Q79" s="2212"/>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2612</v>
      </c>
      <c r="C80" s="1240"/>
      <c r="D80" s="1239"/>
      <c r="E80" s="1239"/>
      <c r="F80" s="1239"/>
      <c r="G80" s="1239"/>
      <c r="H80" s="1239"/>
      <c r="I80" s="1239"/>
      <c r="J80" s="1239"/>
      <c r="K80" s="1239"/>
      <c r="L80" s="1238"/>
      <c r="M80" s="1239"/>
      <c r="N80" s="1238"/>
      <c r="O80" s="2216" t="e">
        <f>BR96/SUM($BR$96:$BR$98)</f>
        <v>#DIV/0!</v>
      </c>
      <c r="P80" s="2217"/>
      <c r="Q80" s="2218"/>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2619</v>
      </c>
      <c r="C81" s="1244"/>
      <c r="D81" s="1226"/>
      <c r="E81" s="1226"/>
      <c r="F81" s="1226"/>
      <c r="G81" s="1226"/>
      <c r="H81" s="1226"/>
      <c r="I81" s="1226"/>
      <c r="J81" s="1226"/>
      <c r="K81" s="1226"/>
      <c r="L81" s="1226"/>
      <c r="M81" s="1226"/>
      <c r="N81" s="1246"/>
      <c r="O81" s="2207" t="s">
        <v>2551</v>
      </c>
      <c r="P81" s="2208"/>
      <c r="Q81" s="2209"/>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93" t="s">
        <v>2170</v>
      </c>
      <c r="C83" s="2594"/>
      <c r="D83" s="2594"/>
      <c r="E83" s="2594"/>
      <c r="F83" s="2594"/>
      <c r="G83" s="2594"/>
      <c r="H83" s="2594"/>
      <c r="I83" s="2594"/>
      <c r="J83" s="2594"/>
      <c r="K83" s="2594"/>
      <c r="L83" s="2594"/>
      <c r="M83" s="2594"/>
      <c r="N83" s="2594"/>
      <c r="O83" s="2594"/>
      <c r="P83" s="2594"/>
      <c r="Q83" s="2594"/>
      <c r="R83" s="2594"/>
      <c r="S83" s="2594"/>
      <c r="T83" s="2594"/>
      <c r="U83" s="2594"/>
      <c r="V83" s="2594"/>
      <c r="W83" s="2594"/>
      <c r="X83" s="2594"/>
      <c r="Y83" s="2594"/>
      <c r="Z83" s="2594"/>
      <c r="AA83" s="2594"/>
      <c r="AB83" s="2594"/>
      <c r="AC83" s="2594"/>
      <c r="AD83" s="2594"/>
      <c r="AE83" s="2594"/>
      <c r="AF83" s="2594"/>
      <c r="AG83" s="2594"/>
      <c r="AH83" s="2595"/>
      <c r="AI83" s="1206"/>
      <c r="AJ83" s="2197" t="s">
        <v>2618</v>
      </c>
      <c r="AK83" s="2198"/>
      <c r="AL83" s="2198"/>
      <c r="AM83" s="2198"/>
      <c r="AN83" s="2198"/>
      <c r="AO83" s="2198"/>
      <c r="AP83" s="2198"/>
      <c r="AQ83" s="2198"/>
      <c r="AR83" s="2198"/>
      <c r="AS83" s="2198"/>
      <c r="AT83" s="2198"/>
      <c r="AU83" s="2198"/>
      <c r="AV83" s="2198"/>
      <c r="AW83" s="2198"/>
      <c r="AX83" s="2198"/>
      <c r="AY83" s="2219" t="s">
        <v>554</v>
      </c>
      <c r="AZ83" s="2219"/>
      <c r="BA83" s="2219"/>
      <c r="BB83" s="2220"/>
      <c r="BC83" s="1206"/>
      <c r="BD83" s="1206"/>
      <c r="BE83" s="1202"/>
    </row>
    <row r="84" spans="1:70" ht="15.75" customHeight="1">
      <c r="A84" s="1206"/>
      <c r="B84" s="2189"/>
      <c r="C84" s="2190"/>
      <c r="D84" s="2190"/>
      <c r="E84" s="2190"/>
      <c r="F84" s="2190"/>
      <c r="G84" s="2190"/>
      <c r="H84" s="2190"/>
      <c r="I84" s="2190" t="s">
        <v>1828</v>
      </c>
      <c r="J84" s="2190"/>
      <c r="K84" s="2190"/>
      <c r="L84" s="2190"/>
      <c r="M84" s="2190"/>
      <c r="N84" s="2190"/>
      <c r="O84" s="2190" t="s">
        <v>1829</v>
      </c>
      <c r="P84" s="2190"/>
      <c r="Q84" s="2190"/>
      <c r="R84" s="2190"/>
      <c r="S84" s="2190"/>
      <c r="T84" s="2190"/>
      <c r="U84" s="2190"/>
      <c r="V84" s="2191" t="s">
        <v>2188</v>
      </c>
      <c r="W84" s="2191"/>
      <c r="X84" s="2191"/>
      <c r="Y84" s="2191"/>
      <c r="Z84" s="2191"/>
      <c r="AA84" s="2191"/>
      <c r="AB84" s="2192" t="s">
        <v>1830</v>
      </c>
      <c r="AC84" s="2192"/>
      <c r="AD84" s="2192"/>
      <c r="AE84" s="2192"/>
      <c r="AF84" s="2192"/>
      <c r="AG84" s="2192"/>
      <c r="AH84" s="2193"/>
      <c r="AI84" s="1206"/>
      <c r="AJ84" s="2199"/>
      <c r="AK84" s="2200"/>
      <c r="AL84" s="2200"/>
      <c r="AM84" s="2200"/>
      <c r="AN84" s="2200"/>
      <c r="AO84" s="2200"/>
      <c r="AP84" s="2200"/>
      <c r="AQ84" s="2200"/>
      <c r="AR84" s="2200"/>
      <c r="AS84" s="2200"/>
      <c r="AT84" s="2200"/>
      <c r="AU84" s="2200"/>
      <c r="AV84" s="2200"/>
      <c r="AW84" s="2200"/>
      <c r="AX84" s="2200"/>
      <c r="AY84" s="2221"/>
      <c r="AZ84" s="2221"/>
      <c r="BA84" s="2221"/>
      <c r="BB84" s="2222"/>
      <c r="BC84" s="1206"/>
      <c r="BD84" s="1206"/>
      <c r="BE84" s="1202"/>
    </row>
    <row r="85" spans="1:70" ht="15.75" customHeight="1">
      <c r="A85" s="1206"/>
      <c r="B85" s="2189"/>
      <c r="C85" s="2190"/>
      <c r="D85" s="2190"/>
      <c r="E85" s="2190"/>
      <c r="F85" s="2190"/>
      <c r="G85" s="2190"/>
      <c r="H85" s="2190"/>
      <c r="I85" s="2190"/>
      <c r="J85" s="2190"/>
      <c r="K85" s="2190"/>
      <c r="L85" s="2190"/>
      <c r="M85" s="2190"/>
      <c r="N85" s="2190"/>
      <c r="O85" s="2190"/>
      <c r="P85" s="2190"/>
      <c r="Q85" s="2190"/>
      <c r="R85" s="2190"/>
      <c r="S85" s="2190"/>
      <c r="T85" s="2190"/>
      <c r="U85" s="2190"/>
      <c r="V85" s="2191"/>
      <c r="W85" s="2191"/>
      <c r="X85" s="2191"/>
      <c r="Y85" s="2191"/>
      <c r="Z85" s="2191"/>
      <c r="AA85" s="2191"/>
      <c r="AB85" s="2192"/>
      <c r="AC85" s="2192"/>
      <c r="AD85" s="2192"/>
      <c r="AE85" s="2192"/>
      <c r="AF85" s="2192"/>
      <c r="AG85" s="2192"/>
      <c r="AH85" s="2193"/>
      <c r="AI85" s="1206"/>
      <c r="AJ85" s="2199"/>
      <c r="AK85" s="2200"/>
      <c r="AL85" s="2200"/>
      <c r="AM85" s="2200"/>
      <c r="AN85" s="2200"/>
      <c r="AO85" s="2200"/>
      <c r="AP85" s="2200"/>
      <c r="AQ85" s="2200"/>
      <c r="AR85" s="2200"/>
      <c r="AS85" s="2200"/>
      <c r="AT85" s="2200"/>
      <c r="AU85" s="2200"/>
      <c r="AV85" s="2200"/>
      <c r="AW85" s="2200"/>
      <c r="AX85" s="2200"/>
      <c r="AY85" s="2221"/>
      <c r="AZ85" s="2221"/>
      <c r="BA85" s="2221"/>
      <c r="BB85" s="2222"/>
      <c r="BC85" s="1206"/>
      <c r="BD85" s="1206"/>
      <c r="BE85" s="1202"/>
    </row>
    <row r="86" spans="1:70" ht="15.75" customHeight="1">
      <c r="A86" s="1206"/>
      <c r="B86" s="2189" t="s">
        <v>2171</v>
      </c>
      <c r="C86" s="2190"/>
      <c r="D86" s="2190"/>
      <c r="E86" s="2190"/>
      <c r="F86" s="2190"/>
      <c r="G86" s="2190"/>
      <c r="H86" s="2190"/>
      <c r="I86" s="2187">
        <v>0</v>
      </c>
      <c r="J86" s="2187"/>
      <c r="K86" s="2187"/>
      <c r="L86" s="2187"/>
      <c r="M86" s="2187"/>
      <c r="N86" s="2187"/>
      <c r="O86" s="2187">
        <v>0</v>
      </c>
      <c r="P86" s="2187"/>
      <c r="Q86" s="2187"/>
      <c r="R86" s="2187"/>
      <c r="S86" s="2187"/>
      <c r="T86" s="2187"/>
      <c r="U86" s="2187"/>
      <c r="V86" s="2187">
        <v>0</v>
      </c>
      <c r="W86" s="2187"/>
      <c r="X86" s="2187"/>
      <c r="Y86" s="2187"/>
      <c r="Z86" s="2187"/>
      <c r="AA86" s="2187"/>
      <c r="AB86" s="2187">
        <v>0</v>
      </c>
      <c r="AC86" s="2187"/>
      <c r="AD86" s="2187"/>
      <c r="AE86" s="2187"/>
      <c r="AF86" s="2187"/>
      <c r="AG86" s="2187"/>
      <c r="AH86" s="2188"/>
      <c r="AI86" s="1206"/>
      <c r="AJ86" s="2199"/>
      <c r="AK86" s="2200"/>
      <c r="AL86" s="2200"/>
      <c r="AM86" s="2200"/>
      <c r="AN86" s="2200"/>
      <c r="AO86" s="2200"/>
      <c r="AP86" s="2200"/>
      <c r="AQ86" s="2200"/>
      <c r="AR86" s="2200"/>
      <c r="AS86" s="2200"/>
      <c r="AT86" s="2200"/>
      <c r="AU86" s="2200"/>
      <c r="AV86" s="2200"/>
      <c r="AW86" s="2200"/>
      <c r="AX86" s="2200"/>
      <c r="AY86" s="2221"/>
      <c r="AZ86" s="2221"/>
      <c r="BA86" s="2221"/>
      <c r="BB86" s="2222"/>
      <c r="BC86" s="1206"/>
      <c r="BD86" s="1206"/>
      <c r="BE86" s="1202"/>
    </row>
    <row r="87" spans="1:70" ht="15.75" customHeight="1">
      <c r="A87" s="1206"/>
      <c r="B87" s="2189" t="s">
        <v>2172</v>
      </c>
      <c r="C87" s="2190"/>
      <c r="D87" s="2190"/>
      <c r="E87" s="2190"/>
      <c r="F87" s="2190"/>
      <c r="G87" s="2190"/>
      <c r="H87" s="2190"/>
      <c r="I87" s="2187">
        <v>0</v>
      </c>
      <c r="J87" s="2187"/>
      <c r="K87" s="2187"/>
      <c r="L87" s="2187"/>
      <c r="M87" s="2187"/>
      <c r="N87" s="2187"/>
      <c r="O87" s="2187">
        <v>0</v>
      </c>
      <c r="P87" s="2187"/>
      <c r="Q87" s="2187"/>
      <c r="R87" s="2187"/>
      <c r="S87" s="2187"/>
      <c r="T87" s="2187"/>
      <c r="U87" s="2187"/>
      <c r="V87" s="2187">
        <v>0</v>
      </c>
      <c r="W87" s="2187"/>
      <c r="X87" s="2187"/>
      <c r="Y87" s="2187"/>
      <c r="Z87" s="2187"/>
      <c r="AA87" s="2187"/>
      <c r="AB87" s="2187">
        <v>0</v>
      </c>
      <c r="AC87" s="2187"/>
      <c r="AD87" s="2187"/>
      <c r="AE87" s="2187"/>
      <c r="AF87" s="2187"/>
      <c r="AG87" s="2187"/>
      <c r="AH87" s="2188"/>
      <c r="AI87" s="1206"/>
      <c r="AJ87" s="2201" t="s">
        <v>2487</v>
      </c>
      <c r="AK87" s="2202"/>
      <c r="AL87" s="2202"/>
      <c r="AM87" s="2202"/>
      <c r="AN87" s="2202"/>
      <c r="AO87" s="2202"/>
      <c r="AP87" s="2202"/>
      <c r="AQ87" s="2202"/>
      <c r="AR87" s="2202"/>
      <c r="AS87" s="2202"/>
      <c r="AT87" s="2202"/>
      <c r="AU87" s="2202"/>
      <c r="AV87" s="2202"/>
      <c r="AW87" s="2202"/>
      <c r="AX87" s="2202"/>
      <c r="AY87" s="2202"/>
      <c r="AZ87" s="2202"/>
      <c r="BA87" s="2202"/>
      <c r="BB87" s="2203"/>
      <c r="BC87" s="1206"/>
      <c r="BD87" s="1206"/>
      <c r="BE87" s="1202"/>
    </row>
    <row r="88" spans="1:70" ht="15.75" customHeight="1" thickBot="1">
      <c r="A88" s="1206"/>
      <c r="B88" s="2183" t="s">
        <v>1831</v>
      </c>
      <c r="C88" s="2184"/>
      <c r="D88" s="2184"/>
      <c r="E88" s="2184"/>
      <c r="F88" s="2184"/>
      <c r="G88" s="2184"/>
      <c r="H88" s="2184"/>
      <c r="I88" s="2185">
        <v>0</v>
      </c>
      <c r="J88" s="2185"/>
      <c r="K88" s="2185"/>
      <c r="L88" s="2185"/>
      <c r="M88" s="2185"/>
      <c r="N88" s="2185"/>
      <c r="O88" s="2185">
        <v>0</v>
      </c>
      <c r="P88" s="2185"/>
      <c r="Q88" s="2185"/>
      <c r="R88" s="2185"/>
      <c r="S88" s="2185"/>
      <c r="T88" s="2185"/>
      <c r="U88" s="2185"/>
      <c r="V88" s="2185">
        <v>0</v>
      </c>
      <c r="W88" s="2185"/>
      <c r="X88" s="2185"/>
      <c r="Y88" s="2185"/>
      <c r="Z88" s="2185"/>
      <c r="AA88" s="2185"/>
      <c r="AB88" s="2185">
        <v>0</v>
      </c>
      <c r="AC88" s="2185"/>
      <c r="AD88" s="2185"/>
      <c r="AE88" s="2185"/>
      <c r="AF88" s="2185"/>
      <c r="AG88" s="2185"/>
      <c r="AH88" s="2186"/>
      <c r="AI88" s="1206"/>
      <c r="AJ88" s="2204"/>
      <c r="AK88" s="2205"/>
      <c r="AL88" s="2205"/>
      <c r="AM88" s="2205"/>
      <c r="AN88" s="2205"/>
      <c r="AO88" s="2205"/>
      <c r="AP88" s="2205"/>
      <c r="AQ88" s="2205"/>
      <c r="AR88" s="2205"/>
      <c r="AS88" s="2205"/>
      <c r="AT88" s="2205"/>
      <c r="AU88" s="2205"/>
      <c r="AV88" s="2205"/>
      <c r="AW88" s="2205"/>
      <c r="AX88" s="2205"/>
      <c r="AY88" s="2205"/>
      <c r="AZ88" s="2205"/>
      <c r="BA88" s="2205"/>
      <c r="BB88" s="2206"/>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2617</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1862</v>
      </c>
      <c r="C92" s="1234"/>
      <c r="D92" s="1233"/>
      <c r="E92" s="1232"/>
      <c r="F92" s="2210"/>
      <c r="G92" s="2211"/>
      <c r="H92" s="2211"/>
      <c r="I92" s="2211"/>
      <c r="J92" s="2211"/>
      <c r="K92" s="2211"/>
      <c r="L92" s="2211"/>
      <c r="M92" s="2211"/>
      <c r="N92" s="2211"/>
      <c r="O92" s="2211"/>
      <c r="P92" s="2211"/>
      <c r="Q92" s="2212"/>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2612</v>
      </c>
      <c r="C93" s="1240"/>
      <c r="D93" s="1239"/>
      <c r="E93" s="1239"/>
      <c r="F93" s="1239"/>
      <c r="G93" s="1239"/>
      <c r="H93" s="1239"/>
      <c r="I93" s="1239"/>
      <c r="J93" s="1239"/>
      <c r="K93" s="1239"/>
      <c r="L93" s="1238"/>
      <c r="M93" s="1239"/>
      <c r="N93" s="1238"/>
      <c r="O93" s="2216" t="e">
        <f>BR97/SUM($BR$96:$BR$98)</f>
        <v>#DIV/0!</v>
      </c>
      <c r="P93" s="2217"/>
      <c r="Q93" s="2218"/>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2616</v>
      </c>
      <c r="C94" s="1244"/>
      <c r="D94" s="1226"/>
      <c r="E94" s="1226"/>
      <c r="F94" s="1226"/>
      <c r="G94" s="1226"/>
      <c r="H94" s="1226"/>
      <c r="I94" s="1226"/>
      <c r="J94" s="1226"/>
      <c r="K94" s="1226"/>
      <c r="L94" s="1226"/>
      <c r="M94" s="1226"/>
      <c r="N94" s="1246"/>
      <c r="O94" s="2207" t="s">
        <v>2551</v>
      </c>
      <c r="P94" s="2208"/>
      <c r="Q94" s="2209"/>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93" t="s">
        <v>2615</v>
      </c>
      <c r="C96" s="2594"/>
      <c r="D96" s="2594"/>
      <c r="E96" s="2594"/>
      <c r="F96" s="2594"/>
      <c r="G96" s="2594"/>
      <c r="H96" s="2594"/>
      <c r="I96" s="2594"/>
      <c r="J96" s="2594"/>
      <c r="K96" s="2594"/>
      <c r="L96" s="2594"/>
      <c r="M96" s="2594"/>
      <c r="N96" s="2594"/>
      <c r="O96" s="2594"/>
      <c r="P96" s="2594"/>
      <c r="Q96" s="2594"/>
      <c r="R96" s="2594"/>
      <c r="S96" s="2594"/>
      <c r="T96" s="2594"/>
      <c r="U96" s="2594"/>
      <c r="V96" s="2594"/>
      <c r="W96" s="2594"/>
      <c r="X96" s="2594"/>
      <c r="Y96" s="2594"/>
      <c r="Z96" s="2594"/>
      <c r="AA96" s="2594"/>
      <c r="AB96" s="2594"/>
      <c r="AC96" s="2594"/>
      <c r="AD96" s="2594"/>
      <c r="AE96" s="2594"/>
      <c r="AF96" s="2594"/>
      <c r="AG96" s="2594"/>
      <c r="AH96" s="2595"/>
      <c r="AI96" s="1206"/>
      <c r="AJ96" s="2197" t="s">
        <v>2614</v>
      </c>
      <c r="AK96" s="2198"/>
      <c r="AL96" s="2198"/>
      <c r="AM96" s="2198"/>
      <c r="AN96" s="2198"/>
      <c r="AO96" s="2198"/>
      <c r="AP96" s="2198"/>
      <c r="AQ96" s="2198"/>
      <c r="AR96" s="2198"/>
      <c r="AS96" s="2198"/>
      <c r="AT96" s="2198"/>
      <c r="AU96" s="2198"/>
      <c r="AV96" s="2198"/>
      <c r="AW96" s="2198"/>
      <c r="AX96" s="2198"/>
      <c r="AY96" s="2219" t="s">
        <v>554</v>
      </c>
      <c r="AZ96" s="2219"/>
      <c r="BA96" s="2219"/>
      <c r="BB96" s="2220"/>
      <c r="BC96" s="1206"/>
      <c r="BD96" s="1206"/>
      <c r="BE96" s="1202"/>
      <c r="BQ96" s="1245" t="str">
        <f>Application!M243</f>
        <v>AHG Spring Street LLC</v>
      </c>
      <c r="BR96" s="1245">
        <f>Application!AH245</f>
        <v>0</v>
      </c>
    </row>
    <row r="97" spans="1:70" ht="15.75" customHeight="1">
      <c r="A97" s="1206"/>
      <c r="B97" s="2189"/>
      <c r="C97" s="2190"/>
      <c r="D97" s="2190"/>
      <c r="E97" s="2190"/>
      <c r="F97" s="2190"/>
      <c r="G97" s="2190"/>
      <c r="H97" s="2190"/>
      <c r="I97" s="2190" t="s">
        <v>1828</v>
      </c>
      <c r="J97" s="2190"/>
      <c r="K97" s="2190"/>
      <c r="L97" s="2190"/>
      <c r="M97" s="2190"/>
      <c r="N97" s="2190"/>
      <c r="O97" s="2190" t="s">
        <v>1829</v>
      </c>
      <c r="P97" s="2190"/>
      <c r="Q97" s="2190"/>
      <c r="R97" s="2190"/>
      <c r="S97" s="2190"/>
      <c r="T97" s="2190"/>
      <c r="U97" s="2190"/>
      <c r="V97" s="2191" t="s">
        <v>2188</v>
      </c>
      <c r="W97" s="2191"/>
      <c r="X97" s="2191"/>
      <c r="Y97" s="2191"/>
      <c r="Z97" s="2191"/>
      <c r="AA97" s="2191"/>
      <c r="AB97" s="2192" t="s">
        <v>1830</v>
      </c>
      <c r="AC97" s="2192"/>
      <c r="AD97" s="2192"/>
      <c r="AE97" s="2192"/>
      <c r="AF97" s="2192"/>
      <c r="AG97" s="2192"/>
      <c r="AH97" s="2193"/>
      <c r="AI97" s="1206"/>
      <c r="AJ97" s="2199"/>
      <c r="AK97" s="2200"/>
      <c r="AL97" s="2200"/>
      <c r="AM97" s="2200"/>
      <c r="AN97" s="2200"/>
      <c r="AO97" s="2200"/>
      <c r="AP97" s="2200"/>
      <c r="AQ97" s="2200"/>
      <c r="AR97" s="2200"/>
      <c r="AS97" s="2200"/>
      <c r="AT97" s="2200"/>
      <c r="AU97" s="2200"/>
      <c r="AV97" s="2200"/>
      <c r="AW97" s="2200"/>
      <c r="AX97" s="2200"/>
      <c r="AY97" s="2221"/>
      <c r="AZ97" s="2221"/>
      <c r="BA97" s="2221"/>
      <c r="BB97" s="2222"/>
      <c r="BC97" s="1206"/>
      <c r="BD97" s="1206"/>
      <c r="BE97" s="1202"/>
      <c r="BQ97" s="1245" t="str">
        <f>Application!M251</f>
        <v>CFAH Housing LLC</v>
      </c>
      <c r="BR97" s="1245">
        <f>Application!AH253</f>
        <v>0</v>
      </c>
    </row>
    <row r="98" spans="1:70" ht="15.75" customHeight="1">
      <c r="A98" s="1206"/>
      <c r="B98" s="2189"/>
      <c r="C98" s="2190"/>
      <c r="D98" s="2190"/>
      <c r="E98" s="2190"/>
      <c r="F98" s="2190"/>
      <c r="G98" s="2190"/>
      <c r="H98" s="2190"/>
      <c r="I98" s="2190"/>
      <c r="J98" s="2190"/>
      <c r="K98" s="2190"/>
      <c r="L98" s="2190"/>
      <c r="M98" s="2190"/>
      <c r="N98" s="2190"/>
      <c r="O98" s="2190"/>
      <c r="P98" s="2190"/>
      <c r="Q98" s="2190"/>
      <c r="R98" s="2190"/>
      <c r="S98" s="2190"/>
      <c r="T98" s="2190"/>
      <c r="U98" s="2190"/>
      <c r="V98" s="2191"/>
      <c r="W98" s="2191"/>
      <c r="X98" s="2191"/>
      <c r="Y98" s="2191"/>
      <c r="Z98" s="2191"/>
      <c r="AA98" s="2191"/>
      <c r="AB98" s="2192"/>
      <c r="AC98" s="2192"/>
      <c r="AD98" s="2192"/>
      <c r="AE98" s="2192"/>
      <c r="AF98" s="2192"/>
      <c r="AG98" s="2192"/>
      <c r="AH98" s="2193"/>
      <c r="AI98" s="1206"/>
      <c r="AJ98" s="2199"/>
      <c r="AK98" s="2200"/>
      <c r="AL98" s="2200"/>
      <c r="AM98" s="2200"/>
      <c r="AN98" s="2200"/>
      <c r="AO98" s="2200"/>
      <c r="AP98" s="2200"/>
      <c r="AQ98" s="2200"/>
      <c r="AR98" s="2200"/>
      <c r="AS98" s="2200"/>
      <c r="AT98" s="2200"/>
      <c r="AU98" s="2200"/>
      <c r="AV98" s="2200"/>
      <c r="AW98" s="2200"/>
      <c r="AX98" s="2200"/>
      <c r="AY98" s="2221"/>
      <c r="AZ98" s="2221"/>
      <c r="BA98" s="2221"/>
      <c r="BB98" s="2222"/>
      <c r="BC98" s="1206"/>
      <c r="BD98" s="1206"/>
      <c r="BE98" s="1202"/>
      <c r="BQ98" s="1245">
        <f>Application!M259</f>
        <v>0</v>
      </c>
      <c r="BR98" s="1245">
        <f>Application!AH261</f>
        <v>0</v>
      </c>
    </row>
    <row r="99" spans="1:70" ht="15.75" customHeight="1">
      <c r="A99" s="1206"/>
      <c r="B99" s="2189" t="s">
        <v>2171</v>
      </c>
      <c r="C99" s="2190"/>
      <c r="D99" s="2190"/>
      <c r="E99" s="2190"/>
      <c r="F99" s="2190"/>
      <c r="G99" s="2190"/>
      <c r="H99" s="2190"/>
      <c r="I99" s="2187">
        <v>0</v>
      </c>
      <c r="J99" s="2187"/>
      <c r="K99" s="2187"/>
      <c r="L99" s="2187"/>
      <c r="M99" s="2187"/>
      <c r="N99" s="2187"/>
      <c r="O99" s="2187">
        <v>0</v>
      </c>
      <c r="P99" s="2187"/>
      <c r="Q99" s="2187"/>
      <c r="R99" s="2187"/>
      <c r="S99" s="2187"/>
      <c r="T99" s="2187"/>
      <c r="U99" s="2187"/>
      <c r="V99" s="2187">
        <v>0</v>
      </c>
      <c r="W99" s="2187"/>
      <c r="X99" s="2187"/>
      <c r="Y99" s="2187"/>
      <c r="Z99" s="2187"/>
      <c r="AA99" s="2187"/>
      <c r="AB99" s="2187">
        <v>0</v>
      </c>
      <c r="AC99" s="2187"/>
      <c r="AD99" s="2187"/>
      <c r="AE99" s="2187"/>
      <c r="AF99" s="2187"/>
      <c r="AG99" s="2187"/>
      <c r="AH99" s="2188"/>
      <c r="AI99" s="1206"/>
      <c r="AJ99" s="2199"/>
      <c r="AK99" s="2200"/>
      <c r="AL99" s="2200"/>
      <c r="AM99" s="2200"/>
      <c r="AN99" s="2200"/>
      <c r="AO99" s="2200"/>
      <c r="AP99" s="2200"/>
      <c r="AQ99" s="2200"/>
      <c r="AR99" s="2200"/>
      <c r="AS99" s="2200"/>
      <c r="AT99" s="2200"/>
      <c r="AU99" s="2200"/>
      <c r="AV99" s="2200"/>
      <c r="AW99" s="2200"/>
      <c r="AX99" s="2200"/>
      <c r="AY99" s="2221"/>
      <c r="AZ99" s="2221"/>
      <c r="BA99" s="2221"/>
      <c r="BB99" s="2222"/>
      <c r="BC99" s="1206"/>
      <c r="BD99" s="1206"/>
      <c r="BE99" s="1202"/>
    </row>
    <row r="100" spans="1:70" ht="15.75" customHeight="1">
      <c r="A100" s="1206"/>
      <c r="B100" s="2189" t="s">
        <v>2172</v>
      </c>
      <c r="C100" s="2190"/>
      <c r="D100" s="2190"/>
      <c r="E100" s="2190"/>
      <c r="F100" s="2190"/>
      <c r="G100" s="2190"/>
      <c r="H100" s="2190"/>
      <c r="I100" s="2187">
        <v>0</v>
      </c>
      <c r="J100" s="2187"/>
      <c r="K100" s="2187"/>
      <c r="L100" s="2187"/>
      <c r="M100" s="2187"/>
      <c r="N100" s="2187"/>
      <c r="O100" s="2187">
        <v>0</v>
      </c>
      <c r="P100" s="2187"/>
      <c r="Q100" s="2187"/>
      <c r="R100" s="2187"/>
      <c r="S100" s="2187"/>
      <c r="T100" s="2187"/>
      <c r="U100" s="2187"/>
      <c r="V100" s="2187">
        <v>0</v>
      </c>
      <c r="W100" s="2187"/>
      <c r="X100" s="2187"/>
      <c r="Y100" s="2187"/>
      <c r="Z100" s="2187"/>
      <c r="AA100" s="2187"/>
      <c r="AB100" s="2187">
        <v>0</v>
      </c>
      <c r="AC100" s="2187"/>
      <c r="AD100" s="2187"/>
      <c r="AE100" s="2187"/>
      <c r="AF100" s="2187"/>
      <c r="AG100" s="2187"/>
      <c r="AH100" s="2188"/>
      <c r="AI100" s="1206"/>
      <c r="AJ100" s="2201" t="s">
        <v>2487</v>
      </c>
      <c r="AK100" s="2202"/>
      <c r="AL100" s="2202"/>
      <c r="AM100" s="2202"/>
      <c r="AN100" s="2202"/>
      <c r="AO100" s="2202"/>
      <c r="AP100" s="2202"/>
      <c r="AQ100" s="2202"/>
      <c r="AR100" s="2202"/>
      <c r="AS100" s="2202"/>
      <c r="AT100" s="2202"/>
      <c r="AU100" s="2202"/>
      <c r="AV100" s="2202"/>
      <c r="AW100" s="2202"/>
      <c r="AX100" s="2202"/>
      <c r="AY100" s="2202"/>
      <c r="AZ100" s="2202"/>
      <c r="BA100" s="2202"/>
      <c r="BB100" s="2203"/>
      <c r="BC100" s="1206"/>
      <c r="BD100" s="1206"/>
      <c r="BE100" s="1202"/>
    </row>
    <row r="101" spans="1:70" ht="15.75" customHeight="1" thickBot="1">
      <c r="A101" s="1206"/>
      <c r="B101" s="2183" t="s">
        <v>1831</v>
      </c>
      <c r="C101" s="2184"/>
      <c r="D101" s="2184"/>
      <c r="E101" s="2184"/>
      <c r="F101" s="2184"/>
      <c r="G101" s="2184"/>
      <c r="H101" s="2184"/>
      <c r="I101" s="2185">
        <v>0</v>
      </c>
      <c r="J101" s="2185"/>
      <c r="K101" s="2185"/>
      <c r="L101" s="2185"/>
      <c r="M101" s="2185"/>
      <c r="N101" s="2185"/>
      <c r="O101" s="2185">
        <v>0</v>
      </c>
      <c r="P101" s="2185"/>
      <c r="Q101" s="2185"/>
      <c r="R101" s="2185"/>
      <c r="S101" s="2185"/>
      <c r="T101" s="2185"/>
      <c r="U101" s="2185"/>
      <c r="V101" s="2185">
        <v>0</v>
      </c>
      <c r="W101" s="2185"/>
      <c r="X101" s="2185"/>
      <c r="Y101" s="2185"/>
      <c r="Z101" s="2185"/>
      <c r="AA101" s="2185"/>
      <c r="AB101" s="2185">
        <v>0</v>
      </c>
      <c r="AC101" s="2185"/>
      <c r="AD101" s="2185"/>
      <c r="AE101" s="2185"/>
      <c r="AF101" s="2185"/>
      <c r="AG101" s="2185"/>
      <c r="AH101" s="2186"/>
      <c r="AI101" s="1206"/>
      <c r="AJ101" s="2204"/>
      <c r="AK101" s="2205"/>
      <c r="AL101" s="2205"/>
      <c r="AM101" s="2205"/>
      <c r="AN101" s="2205"/>
      <c r="AO101" s="2205"/>
      <c r="AP101" s="2205"/>
      <c r="AQ101" s="2205"/>
      <c r="AR101" s="2205"/>
      <c r="AS101" s="2205"/>
      <c r="AT101" s="2205"/>
      <c r="AU101" s="2205"/>
      <c r="AV101" s="2205"/>
      <c r="AW101" s="2205"/>
      <c r="AX101" s="2205"/>
      <c r="AY101" s="2205"/>
      <c r="AZ101" s="2205"/>
      <c r="BA101" s="2205"/>
      <c r="BB101" s="2206"/>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2613</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1862</v>
      </c>
      <c r="C104" s="1234"/>
      <c r="D104" s="1233"/>
      <c r="E104" s="1232"/>
      <c r="F104" s="2213"/>
      <c r="G104" s="2214"/>
      <c r="H104" s="2214"/>
      <c r="I104" s="2214"/>
      <c r="J104" s="2214"/>
      <c r="K104" s="2214"/>
      <c r="L104" s="2214"/>
      <c r="M104" s="2214"/>
      <c r="N104" s="2214"/>
      <c r="O104" s="2214"/>
      <c r="P104" s="2214"/>
      <c r="Q104" s="2214"/>
      <c r="R104" s="2215"/>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2612</v>
      </c>
      <c r="C105" s="1240"/>
      <c r="D105" s="1239"/>
      <c r="E105" s="1239"/>
      <c r="F105" s="1239"/>
      <c r="G105" s="1239"/>
      <c r="H105" s="1239"/>
      <c r="I105" s="1239"/>
      <c r="J105" s="1239"/>
      <c r="K105" s="1239"/>
      <c r="L105" s="1238"/>
      <c r="M105" s="1239"/>
      <c r="N105" s="1238"/>
      <c r="O105" s="2207" t="e">
        <f>BR98/SUM(BR96:BR98)</f>
        <v>#DIV/0!</v>
      </c>
      <c r="P105" s="2208"/>
      <c r="Q105" s="2208"/>
      <c r="R105" s="2209"/>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94" t="s">
        <v>2611</v>
      </c>
      <c r="C107" s="2195"/>
      <c r="D107" s="2195"/>
      <c r="E107" s="2195"/>
      <c r="F107" s="2195"/>
      <c r="G107" s="2195"/>
      <c r="H107" s="2195"/>
      <c r="I107" s="2195"/>
      <c r="J107" s="2195"/>
      <c r="K107" s="2195"/>
      <c r="L107" s="2195"/>
      <c r="M107" s="2195"/>
      <c r="N107" s="2195"/>
      <c r="O107" s="2195"/>
      <c r="P107" s="2195"/>
      <c r="Q107" s="2195"/>
      <c r="R107" s="2195"/>
      <c r="S107" s="2195"/>
      <c r="T107" s="2195"/>
      <c r="U107" s="2195"/>
      <c r="V107" s="2195"/>
      <c r="W107" s="2195"/>
      <c r="X107" s="2195"/>
      <c r="Y107" s="2195"/>
      <c r="Z107" s="2195"/>
      <c r="AA107" s="2195"/>
      <c r="AB107" s="2195"/>
      <c r="AC107" s="2195"/>
      <c r="AD107" s="2195"/>
      <c r="AE107" s="2195"/>
      <c r="AF107" s="2195"/>
      <c r="AG107" s="2195"/>
      <c r="AH107" s="2196"/>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89"/>
      <c r="C108" s="2190"/>
      <c r="D108" s="2190"/>
      <c r="E108" s="2190"/>
      <c r="F108" s="2190"/>
      <c r="G108" s="2190"/>
      <c r="H108" s="2190"/>
      <c r="I108" s="2190" t="s">
        <v>1828</v>
      </c>
      <c r="J108" s="2190"/>
      <c r="K108" s="2190"/>
      <c r="L108" s="2190"/>
      <c r="M108" s="2190"/>
      <c r="N108" s="2190"/>
      <c r="O108" s="2190" t="s">
        <v>1829</v>
      </c>
      <c r="P108" s="2190"/>
      <c r="Q108" s="2190"/>
      <c r="R108" s="2190"/>
      <c r="S108" s="2190"/>
      <c r="T108" s="2190"/>
      <c r="U108" s="2190"/>
      <c r="V108" s="2191" t="s">
        <v>2188</v>
      </c>
      <c r="W108" s="2191"/>
      <c r="X108" s="2191"/>
      <c r="Y108" s="2191"/>
      <c r="Z108" s="2191"/>
      <c r="AA108" s="2191"/>
      <c r="AB108" s="2192" t="s">
        <v>1830</v>
      </c>
      <c r="AC108" s="2192"/>
      <c r="AD108" s="2192"/>
      <c r="AE108" s="2192"/>
      <c r="AF108" s="2192"/>
      <c r="AG108" s="2192"/>
      <c r="AH108" s="2193"/>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89"/>
      <c r="C109" s="2190"/>
      <c r="D109" s="2190"/>
      <c r="E109" s="2190"/>
      <c r="F109" s="2190"/>
      <c r="G109" s="2190"/>
      <c r="H109" s="2190"/>
      <c r="I109" s="2190"/>
      <c r="J109" s="2190"/>
      <c r="K109" s="2190"/>
      <c r="L109" s="2190"/>
      <c r="M109" s="2190"/>
      <c r="N109" s="2190"/>
      <c r="O109" s="2190"/>
      <c r="P109" s="2190"/>
      <c r="Q109" s="2190"/>
      <c r="R109" s="2190"/>
      <c r="S109" s="2190"/>
      <c r="T109" s="2190"/>
      <c r="U109" s="2190"/>
      <c r="V109" s="2191"/>
      <c r="W109" s="2191"/>
      <c r="X109" s="2191"/>
      <c r="Y109" s="2191"/>
      <c r="Z109" s="2191"/>
      <c r="AA109" s="2191"/>
      <c r="AB109" s="2192"/>
      <c r="AC109" s="2192"/>
      <c r="AD109" s="2192"/>
      <c r="AE109" s="2192"/>
      <c r="AF109" s="2192"/>
      <c r="AG109" s="2192"/>
      <c r="AH109" s="2193"/>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89" t="s">
        <v>2171</v>
      </c>
      <c r="C110" s="2190"/>
      <c r="D110" s="2190"/>
      <c r="E110" s="2190"/>
      <c r="F110" s="2190"/>
      <c r="G110" s="2190"/>
      <c r="H110" s="2190"/>
      <c r="I110" s="2187">
        <v>0</v>
      </c>
      <c r="J110" s="2187"/>
      <c r="K110" s="2187"/>
      <c r="L110" s="2187"/>
      <c r="M110" s="2187"/>
      <c r="N110" s="2187"/>
      <c r="O110" s="2187">
        <v>0</v>
      </c>
      <c r="P110" s="2187"/>
      <c r="Q110" s="2187"/>
      <c r="R110" s="2187"/>
      <c r="S110" s="2187"/>
      <c r="T110" s="2187"/>
      <c r="U110" s="2187"/>
      <c r="V110" s="2187">
        <v>0</v>
      </c>
      <c r="W110" s="2187"/>
      <c r="X110" s="2187"/>
      <c r="Y110" s="2187"/>
      <c r="Z110" s="2187"/>
      <c r="AA110" s="2187"/>
      <c r="AB110" s="2187">
        <v>0</v>
      </c>
      <c r="AC110" s="2187"/>
      <c r="AD110" s="2187"/>
      <c r="AE110" s="2187"/>
      <c r="AF110" s="2187"/>
      <c r="AG110" s="2187"/>
      <c r="AH110" s="2188"/>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89" t="s">
        <v>2172</v>
      </c>
      <c r="C111" s="2190"/>
      <c r="D111" s="2190"/>
      <c r="E111" s="2190"/>
      <c r="F111" s="2190"/>
      <c r="G111" s="2190"/>
      <c r="H111" s="2190"/>
      <c r="I111" s="2187">
        <v>0</v>
      </c>
      <c r="J111" s="2187"/>
      <c r="K111" s="2187"/>
      <c r="L111" s="2187"/>
      <c r="M111" s="2187"/>
      <c r="N111" s="2187"/>
      <c r="O111" s="2187">
        <v>0</v>
      </c>
      <c r="P111" s="2187"/>
      <c r="Q111" s="2187"/>
      <c r="R111" s="2187"/>
      <c r="S111" s="2187"/>
      <c r="T111" s="2187"/>
      <c r="U111" s="2187"/>
      <c r="V111" s="2187">
        <v>0</v>
      </c>
      <c r="W111" s="2187"/>
      <c r="X111" s="2187"/>
      <c r="Y111" s="2187"/>
      <c r="Z111" s="2187"/>
      <c r="AA111" s="2187"/>
      <c r="AB111" s="2187">
        <v>0</v>
      </c>
      <c r="AC111" s="2187"/>
      <c r="AD111" s="2187"/>
      <c r="AE111" s="2187"/>
      <c r="AF111" s="2187"/>
      <c r="AG111" s="2187"/>
      <c r="AH111" s="2188"/>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83" t="s">
        <v>1831</v>
      </c>
      <c r="C112" s="2184"/>
      <c r="D112" s="2184"/>
      <c r="E112" s="2184"/>
      <c r="F112" s="2184"/>
      <c r="G112" s="2184"/>
      <c r="H112" s="2184"/>
      <c r="I112" s="2185">
        <v>0</v>
      </c>
      <c r="J112" s="2185"/>
      <c r="K112" s="2185"/>
      <c r="L112" s="2185"/>
      <c r="M112" s="2185"/>
      <c r="N112" s="2185"/>
      <c r="O112" s="2185">
        <v>0</v>
      </c>
      <c r="P112" s="2185"/>
      <c r="Q112" s="2185"/>
      <c r="R112" s="2185"/>
      <c r="S112" s="2185"/>
      <c r="T112" s="2185"/>
      <c r="U112" s="2185"/>
      <c r="V112" s="2185">
        <v>0</v>
      </c>
      <c r="W112" s="2185"/>
      <c r="X112" s="2185"/>
      <c r="Y112" s="2185"/>
      <c r="Z112" s="2185"/>
      <c r="AA112" s="2185"/>
      <c r="AB112" s="2185">
        <v>0</v>
      </c>
      <c r="AC112" s="2185"/>
      <c r="AD112" s="2185"/>
      <c r="AE112" s="2185"/>
      <c r="AF112" s="2185"/>
      <c r="AG112" s="2185"/>
      <c r="AH112" s="2186"/>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2610</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1862</v>
      </c>
      <c r="C115" s="1234"/>
      <c r="D115" s="1233"/>
      <c r="E115" s="1232"/>
      <c r="F115" s="2213"/>
      <c r="G115" s="2214"/>
      <c r="H115" s="2214"/>
      <c r="I115" s="2214"/>
      <c r="J115" s="2214"/>
      <c r="K115" s="2214"/>
      <c r="L115" s="2214"/>
      <c r="M115" s="2214"/>
      <c r="N115" s="2214"/>
      <c r="O115" s="2214"/>
      <c r="P115" s="2214"/>
      <c r="Q115" s="2214"/>
      <c r="R115" s="2215"/>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97" t="s">
        <v>2488</v>
      </c>
      <c r="C117" s="2198"/>
      <c r="D117" s="2198"/>
      <c r="E117" s="2198"/>
      <c r="F117" s="2198"/>
      <c r="G117" s="2198"/>
      <c r="H117" s="2198"/>
      <c r="I117" s="2198"/>
      <c r="J117" s="2198"/>
      <c r="K117" s="2198"/>
      <c r="L117" s="2198"/>
      <c r="M117" s="2198"/>
      <c r="N117" s="2198"/>
      <c r="O117" s="2198"/>
      <c r="P117" s="2198"/>
      <c r="Q117" s="2219" t="s">
        <v>554</v>
      </c>
      <c r="R117" s="2219"/>
      <c r="S117" s="2219"/>
      <c r="T117" s="2220"/>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99"/>
      <c r="C118" s="2200"/>
      <c r="D118" s="2200"/>
      <c r="E118" s="2200"/>
      <c r="F118" s="2200"/>
      <c r="G118" s="2200"/>
      <c r="H118" s="2200"/>
      <c r="I118" s="2200"/>
      <c r="J118" s="2200"/>
      <c r="K118" s="2200"/>
      <c r="L118" s="2200"/>
      <c r="M118" s="2200"/>
      <c r="N118" s="2200"/>
      <c r="O118" s="2200"/>
      <c r="P118" s="2200"/>
      <c r="Q118" s="2221"/>
      <c r="R118" s="2221"/>
      <c r="S118" s="2221"/>
      <c r="T118" s="2222"/>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99"/>
      <c r="C119" s="2200"/>
      <c r="D119" s="2200"/>
      <c r="E119" s="2200"/>
      <c r="F119" s="2200"/>
      <c r="G119" s="2200"/>
      <c r="H119" s="2200"/>
      <c r="I119" s="2200"/>
      <c r="J119" s="2200"/>
      <c r="K119" s="2200"/>
      <c r="L119" s="2200"/>
      <c r="M119" s="2200"/>
      <c r="N119" s="2200"/>
      <c r="O119" s="2200"/>
      <c r="P119" s="2200"/>
      <c r="Q119" s="2221"/>
      <c r="R119" s="2221"/>
      <c r="S119" s="2221"/>
      <c r="T119" s="2222"/>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99"/>
      <c r="C120" s="2200"/>
      <c r="D120" s="2200"/>
      <c r="E120" s="2200"/>
      <c r="F120" s="2200"/>
      <c r="G120" s="2200"/>
      <c r="H120" s="2200"/>
      <c r="I120" s="2200"/>
      <c r="J120" s="2200"/>
      <c r="K120" s="2200"/>
      <c r="L120" s="2200"/>
      <c r="M120" s="2200"/>
      <c r="N120" s="2200"/>
      <c r="O120" s="2200"/>
      <c r="P120" s="2200"/>
      <c r="Q120" s="2221"/>
      <c r="R120" s="2221"/>
      <c r="S120" s="2221"/>
      <c r="T120" s="2222"/>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01" t="s">
        <v>2189</v>
      </c>
      <c r="C121" s="2202"/>
      <c r="D121" s="2202"/>
      <c r="E121" s="2202"/>
      <c r="F121" s="2202"/>
      <c r="G121" s="2202"/>
      <c r="H121" s="2202"/>
      <c r="I121" s="2202"/>
      <c r="J121" s="2202"/>
      <c r="K121" s="2202"/>
      <c r="L121" s="2202"/>
      <c r="M121" s="2202"/>
      <c r="N121" s="2202"/>
      <c r="O121" s="2202"/>
      <c r="P121" s="2202"/>
      <c r="Q121" s="2202"/>
      <c r="R121" s="2202"/>
      <c r="S121" s="2202"/>
      <c r="T121" s="2203"/>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04"/>
      <c r="C122" s="2205"/>
      <c r="D122" s="2205"/>
      <c r="E122" s="2205"/>
      <c r="F122" s="2205"/>
      <c r="G122" s="2205"/>
      <c r="H122" s="2205"/>
      <c r="I122" s="2205"/>
      <c r="J122" s="2205"/>
      <c r="K122" s="2205"/>
      <c r="L122" s="2205"/>
      <c r="M122" s="2205"/>
      <c r="N122" s="2205"/>
      <c r="O122" s="2205"/>
      <c r="P122" s="2205"/>
      <c r="Q122" s="2205"/>
      <c r="R122" s="2205"/>
      <c r="S122" s="2205"/>
      <c r="T122" s="2206"/>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1832</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97" t="s">
        <v>2173</v>
      </c>
      <c r="Y125" s="2198"/>
      <c r="Z125" s="2198"/>
      <c r="AA125" s="2198"/>
      <c r="AB125" s="2198"/>
      <c r="AC125" s="2198"/>
      <c r="AD125" s="2198"/>
      <c r="AE125" s="2198"/>
      <c r="AF125" s="2198"/>
      <c r="AG125" s="2198"/>
      <c r="AH125" s="2198"/>
      <c r="AI125" s="2198"/>
      <c r="AJ125" s="2198"/>
      <c r="AK125" s="2198"/>
      <c r="AL125" s="2198"/>
      <c r="AM125" s="2198"/>
      <c r="AN125" s="2198"/>
      <c r="AO125" s="2198"/>
      <c r="AP125" s="2198"/>
      <c r="AQ125" s="2198"/>
      <c r="AR125" s="2198"/>
      <c r="AS125" s="2198"/>
      <c r="AT125" s="2198"/>
      <c r="AU125" s="2198"/>
      <c r="AV125" s="2198"/>
      <c r="AW125" s="2198"/>
      <c r="AX125" s="2198"/>
      <c r="AY125" s="2198"/>
      <c r="AZ125" s="2198"/>
      <c r="BA125" s="2198"/>
      <c r="BB125" s="2198"/>
      <c r="BC125" s="2198"/>
      <c r="BD125" s="2445"/>
      <c r="BE125" s="1202"/>
    </row>
    <row r="126" spans="1:57" ht="15.75" customHeight="1">
      <c r="A126" s="1206"/>
      <c r="B126" s="2447" t="s">
        <v>1688</v>
      </c>
      <c r="C126" s="2448"/>
      <c r="D126" s="2448"/>
      <c r="E126" s="2448"/>
      <c r="F126" s="2448"/>
      <c r="G126" s="2448"/>
      <c r="H126" s="2448"/>
      <c r="I126" s="2448"/>
      <c r="J126" s="2448"/>
      <c r="K126" s="2448"/>
      <c r="L126" s="2448"/>
      <c r="M126" s="2448"/>
      <c r="N126" s="2448"/>
      <c r="O126" s="2448"/>
      <c r="P126" s="2448"/>
      <c r="Q126" s="2448"/>
      <c r="R126" s="2448"/>
      <c r="S126" s="2448"/>
      <c r="T126" s="2448"/>
      <c r="U126" s="2449"/>
      <c r="V126" s="1206"/>
      <c r="W126" s="1206"/>
      <c r="X126" s="2199"/>
      <c r="Y126" s="2200"/>
      <c r="Z126" s="2200"/>
      <c r="AA126" s="2200"/>
      <c r="AB126" s="2200"/>
      <c r="AC126" s="2200"/>
      <c r="AD126" s="2200"/>
      <c r="AE126" s="2200"/>
      <c r="AF126" s="2200"/>
      <c r="AG126" s="2200"/>
      <c r="AH126" s="2200"/>
      <c r="AI126" s="2200"/>
      <c r="AJ126" s="2200"/>
      <c r="AK126" s="2200"/>
      <c r="AL126" s="2200"/>
      <c r="AM126" s="2200"/>
      <c r="AN126" s="2200"/>
      <c r="AO126" s="2200"/>
      <c r="AP126" s="2200"/>
      <c r="AQ126" s="2200"/>
      <c r="AR126" s="2200"/>
      <c r="AS126" s="2200"/>
      <c r="AT126" s="2200"/>
      <c r="AU126" s="2200"/>
      <c r="AV126" s="2200"/>
      <c r="AW126" s="2200"/>
      <c r="AX126" s="2200"/>
      <c r="AY126" s="2200"/>
      <c r="AZ126" s="2200"/>
      <c r="BA126" s="2200"/>
      <c r="BB126" s="2200"/>
      <c r="BC126" s="2200"/>
      <c r="BD126" s="2446"/>
      <c r="BE126" s="1202"/>
    </row>
    <row r="127" spans="1:57" ht="15.75" customHeight="1">
      <c r="A127" s="1206"/>
      <c r="B127" s="2410"/>
      <c r="C127" s="2411"/>
      <c r="D127" s="2411"/>
      <c r="E127" s="2411"/>
      <c r="F127" s="2411"/>
      <c r="G127" s="2411"/>
      <c r="H127" s="2411"/>
      <c r="I127" s="2190" t="s">
        <v>2174</v>
      </c>
      <c r="J127" s="2190"/>
      <c r="K127" s="2190"/>
      <c r="L127" s="2190"/>
      <c r="M127" s="2190"/>
      <c r="N127" s="2190"/>
      <c r="O127" s="2450" t="s">
        <v>2175</v>
      </c>
      <c r="P127" s="2450"/>
      <c r="Q127" s="2450"/>
      <c r="R127" s="2450"/>
      <c r="S127" s="2450"/>
      <c r="T127" s="2450"/>
      <c r="U127" s="2451"/>
      <c r="V127" s="1206"/>
      <c r="W127" s="1206"/>
      <c r="X127" s="2413" t="s">
        <v>2187</v>
      </c>
      <c r="Y127" s="2414"/>
      <c r="Z127" s="2414"/>
      <c r="AA127" s="2414"/>
      <c r="AB127" s="2414"/>
      <c r="AC127" s="2414"/>
      <c r="AD127" s="2414"/>
      <c r="AE127" s="2414"/>
      <c r="AF127" s="2414"/>
      <c r="AG127" s="2414"/>
      <c r="AH127" s="2414"/>
      <c r="AI127" s="2414"/>
      <c r="AJ127" s="2414"/>
      <c r="AK127" s="2414"/>
      <c r="AL127" s="2414"/>
      <c r="AM127" s="2414"/>
      <c r="AN127" s="2414"/>
      <c r="AO127" s="2414"/>
      <c r="AP127" s="2414"/>
      <c r="AQ127" s="2414"/>
      <c r="AR127" s="2414"/>
      <c r="AS127" s="2414"/>
      <c r="AT127" s="2414"/>
      <c r="AU127" s="2414"/>
      <c r="AV127" s="2414"/>
      <c r="AW127" s="2414"/>
      <c r="AX127" s="2414"/>
      <c r="AY127" s="2414"/>
      <c r="AZ127" s="2414"/>
      <c r="BA127" s="2414"/>
      <c r="BB127" s="2414"/>
      <c r="BC127" s="2414"/>
      <c r="BD127" s="2415"/>
      <c r="BE127" s="1202"/>
    </row>
    <row r="128" spans="1:57" ht="15.75" customHeight="1">
      <c r="A128" s="1206"/>
      <c r="B128" s="2427" t="s">
        <v>2176</v>
      </c>
      <c r="C128" s="2428"/>
      <c r="D128" s="2428"/>
      <c r="E128" s="2428"/>
      <c r="F128" s="2428"/>
      <c r="G128" s="2428"/>
      <c r="H128" s="2428"/>
      <c r="I128" s="2187">
        <v>0</v>
      </c>
      <c r="J128" s="2187"/>
      <c r="K128" s="2187"/>
      <c r="L128" s="2187"/>
      <c r="M128" s="2187"/>
      <c r="N128" s="2187"/>
      <c r="O128" s="2187">
        <v>0</v>
      </c>
      <c r="P128" s="2187"/>
      <c r="Q128" s="2187"/>
      <c r="R128" s="2187"/>
      <c r="S128" s="2187"/>
      <c r="T128" s="2187"/>
      <c r="U128" s="2188"/>
      <c r="V128" s="1206"/>
      <c r="W128" s="1206"/>
      <c r="X128" s="2413"/>
      <c r="Y128" s="2414"/>
      <c r="Z128" s="2414"/>
      <c r="AA128" s="2414"/>
      <c r="AB128" s="2414"/>
      <c r="AC128" s="2414"/>
      <c r="AD128" s="2414"/>
      <c r="AE128" s="2414"/>
      <c r="AF128" s="2414"/>
      <c r="AG128" s="2414"/>
      <c r="AH128" s="2414"/>
      <c r="AI128" s="2414"/>
      <c r="AJ128" s="2414"/>
      <c r="AK128" s="2414"/>
      <c r="AL128" s="2414"/>
      <c r="AM128" s="2414"/>
      <c r="AN128" s="2414"/>
      <c r="AO128" s="2414"/>
      <c r="AP128" s="2414"/>
      <c r="AQ128" s="2414"/>
      <c r="AR128" s="2414"/>
      <c r="AS128" s="2414"/>
      <c r="AT128" s="2414"/>
      <c r="AU128" s="2414"/>
      <c r="AV128" s="2414"/>
      <c r="AW128" s="2414"/>
      <c r="AX128" s="2414"/>
      <c r="AY128" s="2414"/>
      <c r="AZ128" s="2414"/>
      <c r="BA128" s="2414"/>
      <c r="BB128" s="2414"/>
      <c r="BC128" s="2414"/>
      <c r="BD128" s="2415"/>
      <c r="BE128" s="1202"/>
    </row>
    <row r="129" spans="1:57" ht="15.75" customHeight="1" thickBot="1">
      <c r="A129" s="1206"/>
      <c r="B129" s="2429" t="s">
        <v>2177</v>
      </c>
      <c r="C129" s="2430"/>
      <c r="D129" s="2430"/>
      <c r="E129" s="2430"/>
      <c r="F129" s="2430"/>
      <c r="G129" s="2430"/>
      <c r="H129" s="2430"/>
      <c r="I129" s="2185">
        <v>0</v>
      </c>
      <c r="J129" s="2185"/>
      <c r="K129" s="2185"/>
      <c r="L129" s="2185"/>
      <c r="M129" s="2185"/>
      <c r="N129" s="2185"/>
      <c r="O129" s="2452"/>
      <c r="P129" s="2452"/>
      <c r="Q129" s="2452"/>
      <c r="R129" s="2452"/>
      <c r="S129" s="2452"/>
      <c r="T129" s="2452"/>
      <c r="U129" s="2453"/>
      <c r="V129" s="1206"/>
      <c r="W129" s="1206"/>
      <c r="X129" s="2413"/>
      <c r="Y129" s="2414"/>
      <c r="Z129" s="2414"/>
      <c r="AA129" s="2414"/>
      <c r="AB129" s="2414"/>
      <c r="AC129" s="2414"/>
      <c r="AD129" s="2414"/>
      <c r="AE129" s="2414"/>
      <c r="AF129" s="2414"/>
      <c r="AG129" s="2414"/>
      <c r="AH129" s="2414"/>
      <c r="AI129" s="2414"/>
      <c r="AJ129" s="2414"/>
      <c r="AK129" s="2414"/>
      <c r="AL129" s="2414"/>
      <c r="AM129" s="2414"/>
      <c r="AN129" s="2414"/>
      <c r="AO129" s="2414"/>
      <c r="AP129" s="2414"/>
      <c r="AQ129" s="2414"/>
      <c r="AR129" s="2414"/>
      <c r="AS129" s="2414"/>
      <c r="AT129" s="2414"/>
      <c r="AU129" s="2414"/>
      <c r="AV129" s="2414"/>
      <c r="AW129" s="2414"/>
      <c r="AX129" s="2414"/>
      <c r="AY129" s="2414"/>
      <c r="AZ129" s="2414"/>
      <c r="BA129" s="2414"/>
      <c r="BB129" s="2414"/>
      <c r="BC129" s="2414"/>
      <c r="BD129" s="2415"/>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413"/>
      <c r="Y130" s="2414"/>
      <c r="Z130" s="2414"/>
      <c r="AA130" s="2414"/>
      <c r="AB130" s="2414"/>
      <c r="AC130" s="2414"/>
      <c r="AD130" s="2414"/>
      <c r="AE130" s="2414"/>
      <c r="AF130" s="2414"/>
      <c r="AG130" s="2414"/>
      <c r="AH130" s="2414"/>
      <c r="AI130" s="2414"/>
      <c r="AJ130" s="2414"/>
      <c r="AK130" s="2414"/>
      <c r="AL130" s="2414"/>
      <c r="AM130" s="2414"/>
      <c r="AN130" s="2414"/>
      <c r="AO130" s="2414"/>
      <c r="AP130" s="2414"/>
      <c r="AQ130" s="2414"/>
      <c r="AR130" s="2414"/>
      <c r="AS130" s="2414"/>
      <c r="AT130" s="2414"/>
      <c r="AU130" s="2414"/>
      <c r="AV130" s="2414"/>
      <c r="AW130" s="2414"/>
      <c r="AX130" s="2414"/>
      <c r="AY130" s="2414"/>
      <c r="AZ130" s="2414"/>
      <c r="BA130" s="2414"/>
      <c r="BB130" s="2414"/>
      <c r="BC130" s="2414"/>
      <c r="BD130" s="2415"/>
      <c r="BE130" s="1202"/>
    </row>
    <row r="131" spans="1:57" ht="15.75" customHeight="1" thickBot="1">
      <c r="A131" s="1206"/>
      <c r="B131" s="1228" t="s">
        <v>1833</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413"/>
      <c r="Y131" s="2414"/>
      <c r="Z131" s="2414"/>
      <c r="AA131" s="2414"/>
      <c r="AB131" s="2414"/>
      <c r="AC131" s="2414"/>
      <c r="AD131" s="2414"/>
      <c r="AE131" s="2414"/>
      <c r="AF131" s="2414"/>
      <c r="AG131" s="2414"/>
      <c r="AH131" s="2414"/>
      <c r="AI131" s="2414"/>
      <c r="AJ131" s="2414"/>
      <c r="AK131" s="2414"/>
      <c r="AL131" s="2414"/>
      <c r="AM131" s="2414"/>
      <c r="AN131" s="2414"/>
      <c r="AO131" s="2414"/>
      <c r="AP131" s="2414"/>
      <c r="AQ131" s="2414"/>
      <c r="AR131" s="2414"/>
      <c r="AS131" s="2414"/>
      <c r="AT131" s="2414"/>
      <c r="AU131" s="2414"/>
      <c r="AV131" s="2414"/>
      <c r="AW131" s="2414"/>
      <c r="AX131" s="2414"/>
      <c r="AY131" s="2414"/>
      <c r="AZ131" s="2414"/>
      <c r="BA131" s="2414"/>
      <c r="BB131" s="2414"/>
      <c r="BC131" s="2414"/>
      <c r="BD131" s="2415"/>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413"/>
      <c r="Y132" s="2414"/>
      <c r="Z132" s="2414"/>
      <c r="AA132" s="2414"/>
      <c r="AB132" s="2414"/>
      <c r="AC132" s="2414"/>
      <c r="AD132" s="2414"/>
      <c r="AE132" s="2414"/>
      <c r="AF132" s="2414"/>
      <c r="AG132" s="2414"/>
      <c r="AH132" s="2414"/>
      <c r="AI132" s="2414"/>
      <c r="AJ132" s="2414"/>
      <c r="AK132" s="2414"/>
      <c r="AL132" s="2414"/>
      <c r="AM132" s="2414"/>
      <c r="AN132" s="2414"/>
      <c r="AO132" s="2414"/>
      <c r="AP132" s="2414"/>
      <c r="AQ132" s="2414"/>
      <c r="AR132" s="2414"/>
      <c r="AS132" s="2414"/>
      <c r="AT132" s="2414"/>
      <c r="AU132" s="2414"/>
      <c r="AV132" s="2414"/>
      <c r="AW132" s="2414"/>
      <c r="AX132" s="2414"/>
      <c r="AY132" s="2414"/>
      <c r="AZ132" s="2414"/>
      <c r="BA132" s="2414"/>
      <c r="BB132" s="2414"/>
      <c r="BC132" s="2414"/>
      <c r="BD132" s="2415"/>
      <c r="BE132" s="1202"/>
    </row>
    <row r="133" spans="1:57" ht="15.75" customHeight="1">
      <c r="A133" s="1206"/>
      <c r="B133" s="2442" t="s">
        <v>1834</v>
      </c>
      <c r="C133" s="2443"/>
      <c r="D133" s="2443"/>
      <c r="E133" s="2443"/>
      <c r="F133" s="2443"/>
      <c r="G133" s="2443"/>
      <c r="H133" s="2443"/>
      <c r="I133" s="2443"/>
      <c r="J133" s="2443"/>
      <c r="K133" s="2443"/>
      <c r="L133" s="2443"/>
      <c r="M133" s="2443"/>
      <c r="N133" s="2443"/>
      <c r="O133" s="2443"/>
      <c r="P133" s="2443"/>
      <c r="Q133" s="2443"/>
      <c r="R133" s="2443"/>
      <c r="S133" s="2443"/>
      <c r="T133" s="2443"/>
      <c r="U133" s="2444"/>
      <c r="V133" s="1206"/>
      <c r="W133" s="1206"/>
      <c r="X133" s="2413"/>
      <c r="Y133" s="2414"/>
      <c r="Z133" s="2414"/>
      <c r="AA133" s="2414"/>
      <c r="AB133" s="2414"/>
      <c r="AC133" s="2414"/>
      <c r="AD133" s="2414"/>
      <c r="AE133" s="2414"/>
      <c r="AF133" s="2414"/>
      <c r="AG133" s="2414"/>
      <c r="AH133" s="2414"/>
      <c r="AI133" s="2414"/>
      <c r="AJ133" s="2414"/>
      <c r="AK133" s="2414"/>
      <c r="AL133" s="2414"/>
      <c r="AM133" s="2414"/>
      <c r="AN133" s="2414"/>
      <c r="AO133" s="2414"/>
      <c r="AP133" s="2414"/>
      <c r="AQ133" s="2414"/>
      <c r="AR133" s="2414"/>
      <c r="AS133" s="2414"/>
      <c r="AT133" s="2414"/>
      <c r="AU133" s="2414"/>
      <c r="AV133" s="2414"/>
      <c r="AW133" s="2414"/>
      <c r="AX133" s="2414"/>
      <c r="AY133" s="2414"/>
      <c r="AZ133" s="2414"/>
      <c r="BA133" s="2414"/>
      <c r="BB133" s="2414"/>
      <c r="BC133" s="2414"/>
      <c r="BD133" s="2415"/>
      <c r="BE133" s="1202"/>
    </row>
    <row r="134" spans="1:57" ht="15.75" customHeight="1">
      <c r="A134" s="1206"/>
      <c r="B134" s="2410"/>
      <c r="C134" s="2411"/>
      <c r="D134" s="2411"/>
      <c r="E134" s="2411"/>
      <c r="F134" s="2411"/>
      <c r="G134" s="2411"/>
      <c r="H134" s="2411"/>
      <c r="I134" s="2425" t="s">
        <v>1829</v>
      </c>
      <c r="J134" s="2425"/>
      <c r="K134" s="2425"/>
      <c r="L134" s="2425"/>
      <c r="M134" s="2425"/>
      <c r="N134" s="2425"/>
      <c r="O134" s="2425"/>
      <c r="P134" s="2425" t="s">
        <v>2188</v>
      </c>
      <c r="Q134" s="2425"/>
      <c r="R134" s="2425"/>
      <c r="S134" s="2425"/>
      <c r="T134" s="2425"/>
      <c r="U134" s="2426"/>
      <c r="V134" s="1206"/>
      <c r="W134" s="1206"/>
      <c r="X134" s="2413"/>
      <c r="Y134" s="2414"/>
      <c r="Z134" s="2414"/>
      <c r="AA134" s="2414"/>
      <c r="AB134" s="2414"/>
      <c r="AC134" s="2414"/>
      <c r="AD134" s="2414"/>
      <c r="AE134" s="2414"/>
      <c r="AF134" s="2414"/>
      <c r="AG134" s="2414"/>
      <c r="AH134" s="2414"/>
      <c r="AI134" s="2414"/>
      <c r="AJ134" s="2414"/>
      <c r="AK134" s="2414"/>
      <c r="AL134" s="2414"/>
      <c r="AM134" s="2414"/>
      <c r="AN134" s="2414"/>
      <c r="AO134" s="2414"/>
      <c r="AP134" s="2414"/>
      <c r="AQ134" s="2414"/>
      <c r="AR134" s="2414"/>
      <c r="AS134" s="2414"/>
      <c r="AT134" s="2414"/>
      <c r="AU134" s="2414"/>
      <c r="AV134" s="2414"/>
      <c r="AW134" s="2414"/>
      <c r="AX134" s="2414"/>
      <c r="AY134" s="2414"/>
      <c r="AZ134" s="2414"/>
      <c r="BA134" s="2414"/>
      <c r="BB134" s="2414"/>
      <c r="BC134" s="2414"/>
      <c r="BD134" s="2415"/>
      <c r="BE134" s="1202"/>
    </row>
    <row r="135" spans="1:57" ht="15.75" customHeight="1">
      <c r="A135" s="1206"/>
      <c r="B135" s="2410"/>
      <c r="C135" s="2411"/>
      <c r="D135" s="2411"/>
      <c r="E135" s="2411"/>
      <c r="F135" s="2411"/>
      <c r="G135" s="2411"/>
      <c r="H135" s="2411"/>
      <c r="I135" s="2425"/>
      <c r="J135" s="2425"/>
      <c r="K135" s="2425"/>
      <c r="L135" s="2425"/>
      <c r="M135" s="2425"/>
      <c r="N135" s="2425"/>
      <c r="O135" s="2425"/>
      <c r="P135" s="2425"/>
      <c r="Q135" s="2425"/>
      <c r="R135" s="2425"/>
      <c r="S135" s="2425"/>
      <c r="T135" s="2425"/>
      <c r="U135" s="2426"/>
      <c r="V135" s="1206"/>
      <c r="W135" s="1206"/>
      <c r="X135" s="2413"/>
      <c r="Y135" s="2414"/>
      <c r="Z135" s="2414"/>
      <c r="AA135" s="2414"/>
      <c r="AB135" s="2414"/>
      <c r="AC135" s="2414"/>
      <c r="AD135" s="2414"/>
      <c r="AE135" s="2414"/>
      <c r="AF135" s="2414"/>
      <c r="AG135" s="2414"/>
      <c r="AH135" s="2414"/>
      <c r="AI135" s="2414"/>
      <c r="AJ135" s="2414"/>
      <c r="AK135" s="2414"/>
      <c r="AL135" s="2414"/>
      <c r="AM135" s="2414"/>
      <c r="AN135" s="2414"/>
      <c r="AO135" s="2414"/>
      <c r="AP135" s="2414"/>
      <c r="AQ135" s="2414"/>
      <c r="AR135" s="2414"/>
      <c r="AS135" s="2414"/>
      <c r="AT135" s="2414"/>
      <c r="AU135" s="2414"/>
      <c r="AV135" s="2414"/>
      <c r="AW135" s="2414"/>
      <c r="AX135" s="2414"/>
      <c r="AY135" s="2414"/>
      <c r="AZ135" s="2414"/>
      <c r="BA135" s="2414"/>
      <c r="BB135" s="2414"/>
      <c r="BC135" s="2414"/>
      <c r="BD135" s="2415"/>
      <c r="BE135" s="1202"/>
    </row>
    <row r="136" spans="1:57" ht="15.75" customHeight="1">
      <c r="A136" s="1206"/>
      <c r="B136" s="2427" t="s">
        <v>2176</v>
      </c>
      <c r="C136" s="2428"/>
      <c r="D136" s="2428"/>
      <c r="E136" s="2428"/>
      <c r="F136" s="2428"/>
      <c r="G136" s="2428"/>
      <c r="H136" s="2428"/>
      <c r="I136" s="2187">
        <v>0</v>
      </c>
      <c r="J136" s="2187"/>
      <c r="K136" s="2187"/>
      <c r="L136" s="2187"/>
      <c r="M136" s="2187"/>
      <c r="N136" s="2187"/>
      <c r="O136" s="2187"/>
      <c r="P136" s="2187">
        <v>0</v>
      </c>
      <c r="Q136" s="2187"/>
      <c r="R136" s="2187"/>
      <c r="S136" s="2187"/>
      <c r="T136" s="2187"/>
      <c r="U136" s="2188"/>
      <c r="V136" s="1206"/>
      <c r="W136" s="1206"/>
      <c r="X136" s="2413"/>
      <c r="Y136" s="2414"/>
      <c r="Z136" s="2414"/>
      <c r="AA136" s="2414"/>
      <c r="AB136" s="2414"/>
      <c r="AC136" s="2414"/>
      <c r="AD136" s="2414"/>
      <c r="AE136" s="2414"/>
      <c r="AF136" s="2414"/>
      <c r="AG136" s="2414"/>
      <c r="AH136" s="2414"/>
      <c r="AI136" s="2414"/>
      <c r="AJ136" s="2414"/>
      <c r="AK136" s="2414"/>
      <c r="AL136" s="2414"/>
      <c r="AM136" s="2414"/>
      <c r="AN136" s="2414"/>
      <c r="AO136" s="2414"/>
      <c r="AP136" s="2414"/>
      <c r="AQ136" s="2414"/>
      <c r="AR136" s="2414"/>
      <c r="AS136" s="2414"/>
      <c r="AT136" s="2414"/>
      <c r="AU136" s="2414"/>
      <c r="AV136" s="2414"/>
      <c r="AW136" s="2414"/>
      <c r="AX136" s="2414"/>
      <c r="AY136" s="2414"/>
      <c r="AZ136" s="2414"/>
      <c r="BA136" s="2414"/>
      <c r="BB136" s="2414"/>
      <c r="BC136" s="2414"/>
      <c r="BD136" s="2415"/>
      <c r="BE136" s="1202"/>
    </row>
    <row r="137" spans="1:57" ht="15.75" customHeight="1" thickBot="1">
      <c r="A137" s="1206"/>
      <c r="B137" s="2429" t="s">
        <v>2177</v>
      </c>
      <c r="C137" s="2430"/>
      <c r="D137" s="2430"/>
      <c r="E137" s="2430"/>
      <c r="F137" s="2430"/>
      <c r="G137" s="2430"/>
      <c r="H137" s="2430"/>
      <c r="I137" s="2185">
        <v>0</v>
      </c>
      <c r="J137" s="2185"/>
      <c r="K137" s="2185"/>
      <c r="L137" s="2185"/>
      <c r="M137" s="2185"/>
      <c r="N137" s="2185"/>
      <c r="O137" s="2185"/>
      <c r="P137" s="2185">
        <v>0</v>
      </c>
      <c r="Q137" s="2185"/>
      <c r="R137" s="2185"/>
      <c r="S137" s="2185"/>
      <c r="T137" s="2185"/>
      <c r="U137" s="2186"/>
      <c r="V137" s="1206"/>
      <c r="W137" s="1206"/>
      <c r="X137" s="2416"/>
      <c r="Y137" s="2417"/>
      <c r="Z137" s="2417"/>
      <c r="AA137" s="2417"/>
      <c r="AB137" s="2417"/>
      <c r="AC137" s="2417"/>
      <c r="AD137" s="2417"/>
      <c r="AE137" s="2417"/>
      <c r="AF137" s="2417"/>
      <c r="AG137" s="2417"/>
      <c r="AH137" s="2417"/>
      <c r="AI137" s="2417"/>
      <c r="AJ137" s="2417"/>
      <c r="AK137" s="2417"/>
      <c r="AL137" s="2417"/>
      <c r="AM137" s="2417"/>
      <c r="AN137" s="2417"/>
      <c r="AO137" s="2417"/>
      <c r="AP137" s="2417"/>
      <c r="AQ137" s="2417"/>
      <c r="AR137" s="2417"/>
      <c r="AS137" s="2417"/>
      <c r="AT137" s="2417"/>
      <c r="AU137" s="2417"/>
      <c r="AV137" s="2417"/>
      <c r="AW137" s="2417"/>
      <c r="AX137" s="2417"/>
      <c r="AY137" s="2417"/>
      <c r="AZ137" s="2417"/>
      <c r="BA137" s="2417"/>
      <c r="BB137" s="2417"/>
      <c r="BC137" s="2417"/>
      <c r="BD137" s="2418"/>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07" t="s">
        <v>1835</v>
      </c>
      <c r="C139" s="2408"/>
      <c r="D139" s="2408"/>
      <c r="E139" s="2408"/>
      <c r="F139" s="2408"/>
      <c r="G139" s="2408"/>
      <c r="H139" s="2408"/>
      <c r="I139" s="2408"/>
      <c r="J139" s="2408"/>
      <c r="K139" s="2408"/>
      <c r="L139" s="2408"/>
      <c r="M139" s="2408"/>
      <c r="N139" s="2408"/>
      <c r="O139" s="2408"/>
      <c r="P139" s="2408"/>
      <c r="Q139" s="2408"/>
      <c r="R139" s="2408"/>
      <c r="S139" s="2408"/>
      <c r="T139" s="2408"/>
      <c r="U139" s="2408"/>
      <c r="V139" s="2408"/>
      <c r="W139" s="2408"/>
      <c r="X139" s="2408"/>
      <c r="Y139" s="2408"/>
      <c r="Z139" s="2408"/>
      <c r="AA139" s="2408"/>
      <c r="AB139" s="2408"/>
      <c r="AC139" s="2408"/>
      <c r="AD139" s="2408"/>
      <c r="AE139" s="2408"/>
      <c r="AF139" s="2408"/>
      <c r="AG139" s="2408"/>
      <c r="AH139" s="2246" t="s">
        <v>554</v>
      </c>
      <c r="AI139" s="2246"/>
      <c r="AJ139" s="2246"/>
      <c r="AK139" s="2246"/>
      <c r="AL139" s="2246"/>
      <c r="AM139" s="2246"/>
      <c r="AN139" s="2246"/>
      <c r="AO139" s="2246"/>
      <c r="AP139" s="2246"/>
      <c r="AQ139" s="2246"/>
      <c r="AR139" s="2246"/>
      <c r="AS139" s="2246"/>
      <c r="AT139" s="2246"/>
      <c r="AU139" s="2246"/>
      <c r="AV139" s="2246"/>
      <c r="AW139" s="2246"/>
      <c r="AX139" s="2247"/>
      <c r="AY139" s="1206"/>
      <c r="AZ139" s="1206"/>
      <c r="BA139" s="1206"/>
      <c r="BB139" s="1206"/>
      <c r="BC139" s="1206"/>
      <c r="BD139" s="1206"/>
      <c r="BE139" s="1202"/>
    </row>
    <row r="140" spans="1:57" ht="15.75" customHeight="1">
      <c r="A140" s="1206"/>
      <c r="B140" s="2432" t="s">
        <v>1836</v>
      </c>
      <c r="C140" s="2433"/>
      <c r="D140" s="2433"/>
      <c r="E140" s="2433"/>
      <c r="F140" s="2433"/>
      <c r="G140" s="2433"/>
      <c r="H140" s="2433"/>
      <c r="I140" s="2433"/>
      <c r="J140" s="2433"/>
      <c r="K140" s="2433"/>
      <c r="L140" s="2433"/>
      <c r="M140" s="2433"/>
      <c r="N140" s="2433"/>
      <c r="O140" s="2433"/>
      <c r="P140" s="2433"/>
      <c r="Q140" s="2433"/>
      <c r="R140" s="2434" t="s">
        <v>2190</v>
      </c>
      <c r="S140" s="2434"/>
      <c r="T140" s="2434"/>
      <c r="U140" s="2434"/>
      <c r="V140" s="2434"/>
      <c r="W140" s="2434"/>
      <c r="X140" s="2434"/>
      <c r="Y140" s="2434"/>
      <c r="Z140" s="2434"/>
      <c r="AA140" s="2434"/>
      <c r="AB140" s="2434"/>
      <c r="AC140" s="2434"/>
      <c r="AD140" s="2434"/>
      <c r="AE140" s="2434"/>
      <c r="AF140" s="2434"/>
      <c r="AG140" s="2434"/>
      <c r="AH140" s="2434"/>
      <c r="AI140" s="2434"/>
      <c r="AJ140" s="2434"/>
      <c r="AK140" s="2434"/>
      <c r="AL140" s="2434"/>
      <c r="AM140" s="2434"/>
      <c r="AN140" s="2434"/>
      <c r="AO140" s="2434"/>
      <c r="AP140" s="2434"/>
      <c r="AQ140" s="2434"/>
      <c r="AR140" s="2434"/>
      <c r="AS140" s="2434"/>
      <c r="AT140" s="2434"/>
      <c r="AU140" s="2434"/>
      <c r="AV140" s="2434"/>
      <c r="AW140" s="2434"/>
      <c r="AX140" s="2435"/>
      <c r="AY140" s="1206"/>
      <c r="AZ140" s="1206"/>
      <c r="BA140" s="1206"/>
      <c r="BB140" s="1206"/>
      <c r="BC140" s="1206" t="s">
        <v>251</v>
      </c>
      <c r="BD140" s="1206"/>
      <c r="BE140" s="1202"/>
    </row>
    <row r="141" spans="1:57" ht="15.75" customHeight="1">
      <c r="A141" s="1206"/>
      <c r="B141" s="2436" t="s">
        <v>2191</v>
      </c>
      <c r="C141" s="2437"/>
      <c r="D141" s="2437"/>
      <c r="E141" s="2437"/>
      <c r="F141" s="2437"/>
      <c r="G141" s="2437"/>
      <c r="H141" s="2437"/>
      <c r="I141" s="2437"/>
      <c r="J141" s="2437"/>
      <c r="K141" s="2437"/>
      <c r="L141" s="2437"/>
      <c r="M141" s="2437"/>
      <c r="N141" s="2437"/>
      <c r="O141" s="2437"/>
      <c r="P141" s="2437"/>
      <c r="Q141" s="2437"/>
      <c r="R141" s="2437"/>
      <c r="S141" s="2437"/>
      <c r="T141" s="2437"/>
      <c r="U141" s="2437"/>
      <c r="V141" s="2437"/>
      <c r="W141" s="2437"/>
      <c r="X141" s="2437"/>
      <c r="Y141" s="2437"/>
      <c r="Z141" s="2437"/>
      <c r="AA141" s="2437"/>
      <c r="AB141" s="2437"/>
      <c r="AC141" s="2437"/>
      <c r="AD141" s="2437"/>
      <c r="AE141" s="2437"/>
      <c r="AF141" s="2437"/>
      <c r="AG141" s="2437"/>
      <c r="AH141" s="2437"/>
      <c r="AI141" s="2437"/>
      <c r="AJ141" s="2437"/>
      <c r="AK141" s="2437"/>
      <c r="AL141" s="2437"/>
      <c r="AM141" s="2437"/>
      <c r="AN141" s="2437"/>
      <c r="AO141" s="2437"/>
      <c r="AP141" s="2437"/>
      <c r="AQ141" s="2437"/>
      <c r="AR141" s="2437"/>
      <c r="AS141" s="2437"/>
      <c r="AT141" s="2437"/>
      <c r="AU141" s="2437"/>
      <c r="AV141" s="2437"/>
      <c r="AW141" s="2437"/>
      <c r="AX141" s="2438"/>
      <c r="AY141" s="1206"/>
      <c r="AZ141" s="1206"/>
      <c r="BA141" s="1206"/>
      <c r="BB141" s="1206"/>
      <c r="BC141" s="1206"/>
      <c r="BD141" s="1206"/>
      <c r="BE141" s="1202"/>
    </row>
    <row r="142" spans="1:57" ht="15.75" customHeight="1">
      <c r="A142" s="1206"/>
      <c r="B142" s="2436"/>
      <c r="C142" s="2437"/>
      <c r="D142" s="2437"/>
      <c r="E142" s="2437"/>
      <c r="F142" s="2437"/>
      <c r="G142" s="2437"/>
      <c r="H142" s="2437"/>
      <c r="I142" s="2437"/>
      <c r="J142" s="2437"/>
      <c r="K142" s="2437"/>
      <c r="L142" s="2437"/>
      <c r="M142" s="2437"/>
      <c r="N142" s="2437"/>
      <c r="O142" s="2437"/>
      <c r="P142" s="2437"/>
      <c r="Q142" s="2437"/>
      <c r="R142" s="2437"/>
      <c r="S142" s="2437"/>
      <c r="T142" s="2437"/>
      <c r="U142" s="2437"/>
      <c r="V142" s="2437"/>
      <c r="W142" s="2437"/>
      <c r="X142" s="2437"/>
      <c r="Y142" s="2437"/>
      <c r="Z142" s="2437"/>
      <c r="AA142" s="2437"/>
      <c r="AB142" s="2437"/>
      <c r="AC142" s="2437"/>
      <c r="AD142" s="2437"/>
      <c r="AE142" s="2437"/>
      <c r="AF142" s="2437"/>
      <c r="AG142" s="2437"/>
      <c r="AH142" s="2437"/>
      <c r="AI142" s="2437"/>
      <c r="AJ142" s="2437"/>
      <c r="AK142" s="2437"/>
      <c r="AL142" s="2437"/>
      <c r="AM142" s="2437"/>
      <c r="AN142" s="2437"/>
      <c r="AO142" s="2437"/>
      <c r="AP142" s="2437"/>
      <c r="AQ142" s="2437"/>
      <c r="AR142" s="2437"/>
      <c r="AS142" s="2437"/>
      <c r="AT142" s="2437"/>
      <c r="AU142" s="2437"/>
      <c r="AV142" s="2437"/>
      <c r="AW142" s="2437"/>
      <c r="AX142" s="2438"/>
      <c r="AY142" s="1206"/>
      <c r="AZ142" s="1206"/>
      <c r="BA142" s="1206"/>
      <c r="BB142" s="1206"/>
      <c r="BC142" s="1206"/>
      <c r="BD142" s="1206"/>
      <c r="BE142" s="1202"/>
    </row>
    <row r="143" spans="1:57" ht="15.75" customHeight="1">
      <c r="A143" s="1206"/>
      <c r="B143" s="2436"/>
      <c r="C143" s="2437"/>
      <c r="D143" s="2437"/>
      <c r="E143" s="2437"/>
      <c r="F143" s="2437"/>
      <c r="G143" s="2437"/>
      <c r="H143" s="2437"/>
      <c r="I143" s="2437"/>
      <c r="J143" s="2437"/>
      <c r="K143" s="2437"/>
      <c r="L143" s="2437"/>
      <c r="M143" s="2437"/>
      <c r="N143" s="2437"/>
      <c r="O143" s="2437"/>
      <c r="P143" s="2437"/>
      <c r="Q143" s="2437"/>
      <c r="R143" s="2437"/>
      <c r="S143" s="2437"/>
      <c r="T143" s="2437"/>
      <c r="U143" s="2437"/>
      <c r="V143" s="2437"/>
      <c r="W143" s="2437"/>
      <c r="X143" s="2437"/>
      <c r="Y143" s="2437"/>
      <c r="Z143" s="2437"/>
      <c r="AA143" s="2437"/>
      <c r="AB143" s="2437"/>
      <c r="AC143" s="2437"/>
      <c r="AD143" s="2437"/>
      <c r="AE143" s="2437"/>
      <c r="AF143" s="2437"/>
      <c r="AG143" s="2437"/>
      <c r="AH143" s="2437"/>
      <c r="AI143" s="2437"/>
      <c r="AJ143" s="2437"/>
      <c r="AK143" s="2437"/>
      <c r="AL143" s="2437"/>
      <c r="AM143" s="2437"/>
      <c r="AN143" s="2437"/>
      <c r="AO143" s="2437"/>
      <c r="AP143" s="2437"/>
      <c r="AQ143" s="2437"/>
      <c r="AR143" s="2437"/>
      <c r="AS143" s="2437"/>
      <c r="AT143" s="2437"/>
      <c r="AU143" s="2437"/>
      <c r="AV143" s="2437"/>
      <c r="AW143" s="2437"/>
      <c r="AX143" s="2438"/>
      <c r="AY143" s="1206"/>
      <c r="AZ143" s="1206"/>
      <c r="BA143" s="1206"/>
      <c r="BB143" s="1206"/>
      <c r="BC143" s="1206"/>
      <c r="BD143" s="1206"/>
      <c r="BE143" s="1202"/>
    </row>
    <row r="144" spans="1:57" ht="15.75" customHeight="1">
      <c r="A144" s="1206"/>
      <c r="B144" s="2436"/>
      <c r="C144" s="2437"/>
      <c r="D144" s="2437"/>
      <c r="E144" s="2437"/>
      <c r="F144" s="2437"/>
      <c r="G144" s="2437"/>
      <c r="H144" s="2437"/>
      <c r="I144" s="2437"/>
      <c r="J144" s="2437"/>
      <c r="K144" s="2437"/>
      <c r="L144" s="2437"/>
      <c r="M144" s="2437"/>
      <c r="N144" s="2437"/>
      <c r="O144" s="2437"/>
      <c r="P144" s="2437"/>
      <c r="Q144" s="2437"/>
      <c r="R144" s="2437"/>
      <c r="S144" s="2437"/>
      <c r="T144" s="2437"/>
      <c r="U144" s="2437"/>
      <c r="V144" s="2437"/>
      <c r="W144" s="2437"/>
      <c r="X144" s="2437"/>
      <c r="Y144" s="2437"/>
      <c r="Z144" s="2437"/>
      <c r="AA144" s="2437"/>
      <c r="AB144" s="2437"/>
      <c r="AC144" s="2437"/>
      <c r="AD144" s="2437"/>
      <c r="AE144" s="2437"/>
      <c r="AF144" s="2437"/>
      <c r="AG144" s="2437"/>
      <c r="AH144" s="2437"/>
      <c r="AI144" s="2437"/>
      <c r="AJ144" s="2437"/>
      <c r="AK144" s="2437"/>
      <c r="AL144" s="2437"/>
      <c r="AM144" s="2437"/>
      <c r="AN144" s="2437"/>
      <c r="AO144" s="2437"/>
      <c r="AP144" s="2437"/>
      <c r="AQ144" s="2437"/>
      <c r="AR144" s="2437"/>
      <c r="AS144" s="2437"/>
      <c r="AT144" s="2437"/>
      <c r="AU144" s="2437"/>
      <c r="AV144" s="2437"/>
      <c r="AW144" s="2437"/>
      <c r="AX144" s="2438"/>
      <c r="AY144" s="1206"/>
      <c r="AZ144" s="1206"/>
      <c r="BA144" s="1206"/>
      <c r="BB144" s="1206"/>
      <c r="BC144" s="1206"/>
      <c r="BD144" s="1206"/>
      <c r="BE144" s="1202"/>
    </row>
    <row r="145" spans="1:57" ht="15.75" customHeight="1">
      <c r="A145" s="1206"/>
      <c r="B145" s="2436"/>
      <c r="C145" s="2437"/>
      <c r="D145" s="2437"/>
      <c r="E145" s="2437"/>
      <c r="F145" s="2437"/>
      <c r="G145" s="2437"/>
      <c r="H145" s="2437"/>
      <c r="I145" s="2437"/>
      <c r="J145" s="2437"/>
      <c r="K145" s="2437"/>
      <c r="L145" s="2437"/>
      <c r="M145" s="2437"/>
      <c r="N145" s="2437"/>
      <c r="O145" s="2437"/>
      <c r="P145" s="2437"/>
      <c r="Q145" s="2437"/>
      <c r="R145" s="2437"/>
      <c r="S145" s="2437"/>
      <c r="T145" s="2437"/>
      <c r="U145" s="2437"/>
      <c r="V145" s="2437"/>
      <c r="W145" s="2437"/>
      <c r="X145" s="2437"/>
      <c r="Y145" s="2437"/>
      <c r="Z145" s="2437"/>
      <c r="AA145" s="2437"/>
      <c r="AB145" s="2437"/>
      <c r="AC145" s="2437"/>
      <c r="AD145" s="2437"/>
      <c r="AE145" s="2437"/>
      <c r="AF145" s="2437"/>
      <c r="AG145" s="2437"/>
      <c r="AH145" s="2437"/>
      <c r="AI145" s="2437"/>
      <c r="AJ145" s="2437"/>
      <c r="AK145" s="2437"/>
      <c r="AL145" s="2437"/>
      <c r="AM145" s="2437"/>
      <c r="AN145" s="2437"/>
      <c r="AO145" s="2437"/>
      <c r="AP145" s="2437"/>
      <c r="AQ145" s="2437"/>
      <c r="AR145" s="2437"/>
      <c r="AS145" s="2437"/>
      <c r="AT145" s="2437"/>
      <c r="AU145" s="2437"/>
      <c r="AV145" s="2437"/>
      <c r="AW145" s="2437"/>
      <c r="AX145" s="2438"/>
      <c r="AY145" s="1206"/>
      <c r="AZ145" s="1206"/>
      <c r="BA145" s="1206"/>
      <c r="BB145" s="1206"/>
      <c r="BC145" s="1206"/>
      <c r="BD145" s="1206"/>
      <c r="BE145" s="1202"/>
    </row>
    <row r="146" spans="1:57" ht="15.75" customHeight="1">
      <c r="A146" s="1206"/>
      <c r="B146" s="2436"/>
      <c r="C146" s="2437"/>
      <c r="D146" s="2437"/>
      <c r="E146" s="2437"/>
      <c r="F146" s="2437"/>
      <c r="G146" s="2437"/>
      <c r="H146" s="2437"/>
      <c r="I146" s="2437"/>
      <c r="J146" s="2437"/>
      <c r="K146" s="2437"/>
      <c r="L146" s="2437"/>
      <c r="M146" s="2437"/>
      <c r="N146" s="2437"/>
      <c r="O146" s="2437"/>
      <c r="P146" s="2437"/>
      <c r="Q146" s="2437"/>
      <c r="R146" s="2437"/>
      <c r="S146" s="2437"/>
      <c r="T146" s="2437"/>
      <c r="U146" s="2437"/>
      <c r="V146" s="2437"/>
      <c r="W146" s="2437"/>
      <c r="X146" s="2437"/>
      <c r="Y146" s="2437"/>
      <c r="Z146" s="2437"/>
      <c r="AA146" s="2437"/>
      <c r="AB146" s="2437"/>
      <c r="AC146" s="2437"/>
      <c r="AD146" s="2437"/>
      <c r="AE146" s="2437"/>
      <c r="AF146" s="2437"/>
      <c r="AG146" s="2437"/>
      <c r="AH146" s="2437"/>
      <c r="AI146" s="2437"/>
      <c r="AJ146" s="2437"/>
      <c r="AK146" s="2437"/>
      <c r="AL146" s="2437"/>
      <c r="AM146" s="2437"/>
      <c r="AN146" s="2437"/>
      <c r="AO146" s="2437"/>
      <c r="AP146" s="2437"/>
      <c r="AQ146" s="2437"/>
      <c r="AR146" s="2437"/>
      <c r="AS146" s="2437"/>
      <c r="AT146" s="2437"/>
      <c r="AU146" s="2437"/>
      <c r="AV146" s="2437"/>
      <c r="AW146" s="2437"/>
      <c r="AX146" s="2438"/>
      <c r="AY146" s="1206"/>
      <c r="AZ146" s="1206"/>
      <c r="BA146" s="1206"/>
      <c r="BB146" s="1206"/>
      <c r="BC146" s="1206"/>
      <c r="BD146" s="1206"/>
      <c r="BE146" s="1202"/>
    </row>
    <row r="147" spans="1:57" ht="15.75" customHeight="1">
      <c r="A147" s="1206"/>
      <c r="B147" s="2436"/>
      <c r="C147" s="2437"/>
      <c r="D147" s="2437"/>
      <c r="E147" s="2437"/>
      <c r="F147" s="2437"/>
      <c r="G147" s="2437"/>
      <c r="H147" s="2437"/>
      <c r="I147" s="2437"/>
      <c r="J147" s="2437"/>
      <c r="K147" s="2437"/>
      <c r="L147" s="2437"/>
      <c r="M147" s="2437"/>
      <c r="N147" s="2437"/>
      <c r="O147" s="2437"/>
      <c r="P147" s="2437"/>
      <c r="Q147" s="2437"/>
      <c r="R147" s="2437"/>
      <c r="S147" s="2437"/>
      <c r="T147" s="2437"/>
      <c r="U147" s="2437"/>
      <c r="V147" s="2437"/>
      <c r="W147" s="2437"/>
      <c r="X147" s="2437"/>
      <c r="Y147" s="2437"/>
      <c r="Z147" s="2437"/>
      <c r="AA147" s="2437"/>
      <c r="AB147" s="2437"/>
      <c r="AC147" s="2437"/>
      <c r="AD147" s="2437"/>
      <c r="AE147" s="2437"/>
      <c r="AF147" s="2437"/>
      <c r="AG147" s="2437"/>
      <c r="AH147" s="2437"/>
      <c r="AI147" s="2437"/>
      <c r="AJ147" s="2437"/>
      <c r="AK147" s="2437"/>
      <c r="AL147" s="2437"/>
      <c r="AM147" s="2437"/>
      <c r="AN147" s="2437"/>
      <c r="AO147" s="2437"/>
      <c r="AP147" s="2437"/>
      <c r="AQ147" s="2437"/>
      <c r="AR147" s="2437"/>
      <c r="AS147" s="2437"/>
      <c r="AT147" s="2437"/>
      <c r="AU147" s="2437"/>
      <c r="AV147" s="2437"/>
      <c r="AW147" s="2437"/>
      <c r="AX147" s="2438"/>
      <c r="AY147" s="1206"/>
      <c r="AZ147" s="1206"/>
      <c r="BA147" s="1206"/>
      <c r="BB147" s="1206"/>
      <c r="BC147" s="1206"/>
      <c r="BD147" s="1206"/>
      <c r="BE147" s="1202"/>
    </row>
    <row r="148" spans="1:57" ht="15.75" customHeight="1">
      <c r="A148" s="1206"/>
      <c r="B148" s="2436"/>
      <c r="C148" s="2437"/>
      <c r="D148" s="2437"/>
      <c r="E148" s="2437"/>
      <c r="F148" s="2437"/>
      <c r="G148" s="2437"/>
      <c r="H148" s="2437"/>
      <c r="I148" s="2437"/>
      <c r="J148" s="2437"/>
      <c r="K148" s="2437"/>
      <c r="L148" s="2437"/>
      <c r="M148" s="2437"/>
      <c r="N148" s="2437"/>
      <c r="O148" s="2437"/>
      <c r="P148" s="2437"/>
      <c r="Q148" s="2437"/>
      <c r="R148" s="2437"/>
      <c r="S148" s="2437"/>
      <c r="T148" s="2437"/>
      <c r="U148" s="2437"/>
      <c r="V148" s="2437"/>
      <c r="W148" s="2437"/>
      <c r="X148" s="2437"/>
      <c r="Y148" s="2437"/>
      <c r="Z148" s="2437"/>
      <c r="AA148" s="2437"/>
      <c r="AB148" s="2437"/>
      <c r="AC148" s="2437"/>
      <c r="AD148" s="2437"/>
      <c r="AE148" s="2437"/>
      <c r="AF148" s="2437"/>
      <c r="AG148" s="2437"/>
      <c r="AH148" s="2437"/>
      <c r="AI148" s="2437"/>
      <c r="AJ148" s="2437"/>
      <c r="AK148" s="2437"/>
      <c r="AL148" s="2437"/>
      <c r="AM148" s="2437"/>
      <c r="AN148" s="2437"/>
      <c r="AO148" s="2437"/>
      <c r="AP148" s="2437"/>
      <c r="AQ148" s="2437"/>
      <c r="AR148" s="2437"/>
      <c r="AS148" s="2437"/>
      <c r="AT148" s="2437"/>
      <c r="AU148" s="2437"/>
      <c r="AV148" s="2437"/>
      <c r="AW148" s="2437"/>
      <c r="AX148" s="2438"/>
      <c r="AY148" s="1206"/>
      <c r="AZ148" s="1206"/>
      <c r="BA148" s="1206"/>
      <c r="BB148" s="1206"/>
      <c r="BC148" s="1206"/>
      <c r="BD148" s="1206"/>
      <c r="BE148" s="1202"/>
    </row>
    <row r="149" spans="1:57" ht="15.75" customHeight="1">
      <c r="A149" s="1206"/>
      <c r="B149" s="2436"/>
      <c r="C149" s="2437"/>
      <c r="D149" s="2437"/>
      <c r="E149" s="2437"/>
      <c r="F149" s="2437"/>
      <c r="G149" s="2437"/>
      <c r="H149" s="2437"/>
      <c r="I149" s="2437"/>
      <c r="J149" s="2437"/>
      <c r="K149" s="2437"/>
      <c r="L149" s="2437"/>
      <c r="M149" s="2437"/>
      <c r="N149" s="2437"/>
      <c r="O149" s="2437"/>
      <c r="P149" s="2437"/>
      <c r="Q149" s="2437"/>
      <c r="R149" s="2437"/>
      <c r="S149" s="2437"/>
      <c r="T149" s="2437"/>
      <c r="U149" s="2437"/>
      <c r="V149" s="2437"/>
      <c r="W149" s="2437"/>
      <c r="X149" s="2437"/>
      <c r="Y149" s="2437"/>
      <c r="Z149" s="2437"/>
      <c r="AA149" s="2437"/>
      <c r="AB149" s="2437"/>
      <c r="AC149" s="2437"/>
      <c r="AD149" s="2437"/>
      <c r="AE149" s="2437"/>
      <c r="AF149" s="2437"/>
      <c r="AG149" s="2437"/>
      <c r="AH149" s="2437"/>
      <c r="AI149" s="2437"/>
      <c r="AJ149" s="2437"/>
      <c r="AK149" s="2437"/>
      <c r="AL149" s="2437"/>
      <c r="AM149" s="2437"/>
      <c r="AN149" s="2437"/>
      <c r="AO149" s="2437"/>
      <c r="AP149" s="2437"/>
      <c r="AQ149" s="2437"/>
      <c r="AR149" s="2437"/>
      <c r="AS149" s="2437"/>
      <c r="AT149" s="2437"/>
      <c r="AU149" s="2437"/>
      <c r="AV149" s="2437"/>
      <c r="AW149" s="2437"/>
      <c r="AX149" s="2438"/>
      <c r="AY149" s="1206"/>
      <c r="AZ149" s="1206"/>
      <c r="BA149" s="1206"/>
      <c r="BB149" s="1206"/>
      <c r="BC149" s="1206"/>
      <c r="BD149" s="1206"/>
      <c r="BE149" s="1202"/>
    </row>
    <row r="150" spans="1:57" ht="15.75" customHeight="1" thickBot="1">
      <c r="A150" s="1206"/>
      <c r="B150" s="2439"/>
      <c r="C150" s="2440"/>
      <c r="D150" s="2440"/>
      <c r="E150" s="2440"/>
      <c r="F150" s="2440"/>
      <c r="G150" s="2440"/>
      <c r="H150" s="2440"/>
      <c r="I150" s="2440"/>
      <c r="J150" s="2440"/>
      <c r="K150" s="2440"/>
      <c r="L150" s="2440"/>
      <c r="M150" s="2440"/>
      <c r="N150" s="2440"/>
      <c r="O150" s="2440"/>
      <c r="P150" s="2440"/>
      <c r="Q150" s="2440"/>
      <c r="R150" s="2440"/>
      <c r="S150" s="2440"/>
      <c r="T150" s="2440"/>
      <c r="U150" s="2440"/>
      <c r="V150" s="2440"/>
      <c r="W150" s="2440"/>
      <c r="X150" s="2440"/>
      <c r="Y150" s="2440"/>
      <c r="Z150" s="2440"/>
      <c r="AA150" s="2440"/>
      <c r="AB150" s="2440"/>
      <c r="AC150" s="2440"/>
      <c r="AD150" s="2440"/>
      <c r="AE150" s="2440"/>
      <c r="AF150" s="2440"/>
      <c r="AG150" s="2440"/>
      <c r="AH150" s="2440"/>
      <c r="AI150" s="2440"/>
      <c r="AJ150" s="2440"/>
      <c r="AK150" s="2440"/>
      <c r="AL150" s="2440"/>
      <c r="AM150" s="2440"/>
      <c r="AN150" s="2440"/>
      <c r="AO150" s="2440"/>
      <c r="AP150" s="2440"/>
      <c r="AQ150" s="2440"/>
      <c r="AR150" s="2440"/>
      <c r="AS150" s="2440"/>
      <c r="AT150" s="2440"/>
      <c r="AU150" s="2440"/>
      <c r="AV150" s="2440"/>
      <c r="AW150" s="2440"/>
      <c r="AX150" s="2441"/>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1837</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2192</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31" t="s">
        <v>1838</v>
      </c>
      <c r="C154" s="2227"/>
      <c r="D154" s="2227"/>
      <c r="E154" s="2227"/>
      <c r="F154" s="2227"/>
      <c r="G154" s="2227"/>
      <c r="H154" s="2227"/>
      <c r="I154" s="2227"/>
      <c r="J154" s="2227"/>
      <c r="K154" s="2227"/>
      <c r="L154" s="2227"/>
      <c r="M154" s="2227"/>
      <c r="N154" s="2227"/>
      <c r="O154" s="2227"/>
      <c r="P154" s="2227"/>
      <c r="Q154" s="2227"/>
      <c r="R154" s="2227"/>
      <c r="S154" s="2227"/>
      <c r="T154" s="2227"/>
      <c r="U154" s="2228"/>
      <c r="V154" s="1206"/>
      <c r="W154" s="1214"/>
      <c r="X154" s="2431" t="s">
        <v>2193</v>
      </c>
      <c r="Y154" s="2227"/>
      <c r="Z154" s="2227"/>
      <c r="AA154" s="2227"/>
      <c r="AB154" s="2227"/>
      <c r="AC154" s="2227"/>
      <c r="AD154" s="2227"/>
      <c r="AE154" s="2227"/>
      <c r="AF154" s="2227"/>
      <c r="AG154" s="2227"/>
      <c r="AH154" s="2227"/>
      <c r="AI154" s="2227"/>
      <c r="AJ154" s="2227"/>
      <c r="AK154" s="2227"/>
      <c r="AL154" s="2227"/>
      <c r="AM154" s="2227"/>
      <c r="AN154" s="2227"/>
      <c r="AO154" s="2227"/>
      <c r="AP154" s="2227"/>
      <c r="AQ154" s="2228"/>
      <c r="AR154" s="1206"/>
      <c r="AS154" s="1206"/>
      <c r="AT154" s="1206"/>
      <c r="AU154" s="1206"/>
      <c r="AV154" s="1206"/>
      <c r="AW154" s="1206"/>
      <c r="AX154" s="1206"/>
      <c r="AY154" s="1206"/>
      <c r="AZ154" s="1206"/>
      <c r="BA154" s="1206"/>
      <c r="BB154" s="1206"/>
      <c r="BC154" s="1206"/>
      <c r="BD154" s="1206"/>
      <c r="BE154" s="1202"/>
    </row>
    <row r="155" spans="1:57" ht="15.75" customHeight="1">
      <c r="A155" s="1206"/>
      <c r="B155" s="2410"/>
      <c r="C155" s="2411"/>
      <c r="D155" s="2411"/>
      <c r="E155" s="2411"/>
      <c r="F155" s="2411"/>
      <c r="G155" s="2411"/>
      <c r="H155" s="2411"/>
      <c r="I155" s="2425" t="s">
        <v>1829</v>
      </c>
      <c r="J155" s="2425"/>
      <c r="K155" s="2425"/>
      <c r="L155" s="2425"/>
      <c r="M155" s="2425"/>
      <c r="N155" s="2425"/>
      <c r="O155" s="2425"/>
      <c r="P155" s="2425" t="s">
        <v>2194</v>
      </c>
      <c r="Q155" s="2425"/>
      <c r="R155" s="2425"/>
      <c r="S155" s="2425"/>
      <c r="T155" s="2425"/>
      <c r="U155" s="2426"/>
      <c r="V155" s="1206"/>
      <c r="W155" s="1206"/>
      <c r="X155" s="2410"/>
      <c r="Y155" s="2411"/>
      <c r="Z155" s="2411"/>
      <c r="AA155" s="2411"/>
      <c r="AB155" s="2411"/>
      <c r="AC155" s="2411"/>
      <c r="AD155" s="2411"/>
      <c r="AE155" s="2425" t="s">
        <v>1829</v>
      </c>
      <c r="AF155" s="2425"/>
      <c r="AG155" s="2425"/>
      <c r="AH155" s="2425"/>
      <c r="AI155" s="2425"/>
      <c r="AJ155" s="2425"/>
      <c r="AK155" s="2425"/>
      <c r="AL155" s="2425" t="s">
        <v>2188</v>
      </c>
      <c r="AM155" s="2425"/>
      <c r="AN155" s="2425"/>
      <c r="AO155" s="2425"/>
      <c r="AP155" s="2425"/>
      <c r="AQ155" s="2426"/>
      <c r="AR155" s="1206"/>
      <c r="AS155" s="1206"/>
      <c r="AT155" s="1206"/>
      <c r="AU155" s="1206"/>
      <c r="AV155" s="1206"/>
      <c r="AW155" s="1206"/>
      <c r="AX155" s="1206"/>
      <c r="AY155" s="1206"/>
      <c r="AZ155" s="1206"/>
      <c r="BA155" s="1206"/>
      <c r="BB155" s="1206"/>
      <c r="BC155" s="1206"/>
      <c r="BD155" s="1206"/>
      <c r="BE155" s="1202"/>
    </row>
    <row r="156" spans="1:57" ht="15.75" customHeight="1">
      <c r="A156" s="1206"/>
      <c r="B156" s="2410"/>
      <c r="C156" s="2411"/>
      <c r="D156" s="2411"/>
      <c r="E156" s="2411"/>
      <c r="F156" s="2411"/>
      <c r="G156" s="2411"/>
      <c r="H156" s="2411"/>
      <c r="I156" s="2425"/>
      <c r="J156" s="2425"/>
      <c r="K156" s="2425"/>
      <c r="L156" s="2425"/>
      <c r="M156" s="2425"/>
      <c r="N156" s="2425"/>
      <c r="O156" s="2425"/>
      <c r="P156" s="2425"/>
      <c r="Q156" s="2425"/>
      <c r="R156" s="2425"/>
      <c r="S156" s="2425"/>
      <c r="T156" s="2425"/>
      <c r="U156" s="2426"/>
      <c r="V156" s="1206"/>
      <c r="W156" s="1206"/>
      <c r="X156" s="2410"/>
      <c r="Y156" s="2411"/>
      <c r="Z156" s="2411"/>
      <c r="AA156" s="2411"/>
      <c r="AB156" s="2411"/>
      <c r="AC156" s="2411"/>
      <c r="AD156" s="2411"/>
      <c r="AE156" s="2425"/>
      <c r="AF156" s="2425"/>
      <c r="AG156" s="2425"/>
      <c r="AH156" s="2425"/>
      <c r="AI156" s="2425"/>
      <c r="AJ156" s="2425"/>
      <c r="AK156" s="2425"/>
      <c r="AL156" s="2425"/>
      <c r="AM156" s="2425"/>
      <c r="AN156" s="2425"/>
      <c r="AO156" s="2425"/>
      <c r="AP156" s="2425"/>
      <c r="AQ156" s="2426"/>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27" t="s">
        <v>2176</v>
      </c>
      <c r="C157" s="2428"/>
      <c r="D157" s="2428"/>
      <c r="E157" s="2428"/>
      <c r="F157" s="2428"/>
      <c r="G157" s="2428"/>
      <c r="H157" s="2428"/>
      <c r="I157" s="2187">
        <v>0</v>
      </c>
      <c r="J157" s="2187"/>
      <c r="K157" s="2187"/>
      <c r="L157" s="2187"/>
      <c r="M157" s="2187"/>
      <c r="N157" s="2187"/>
      <c r="O157" s="2187"/>
      <c r="P157" s="2187">
        <v>0</v>
      </c>
      <c r="Q157" s="2187"/>
      <c r="R157" s="2187"/>
      <c r="S157" s="2187"/>
      <c r="T157" s="2187"/>
      <c r="U157" s="2188"/>
      <c r="V157" s="1206"/>
      <c r="W157" s="1206"/>
      <c r="X157" s="2429" t="s">
        <v>2176</v>
      </c>
      <c r="Y157" s="2430"/>
      <c r="Z157" s="2430"/>
      <c r="AA157" s="2430"/>
      <c r="AB157" s="2430"/>
      <c r="AC157" s="2430"/>
      <c r="AD157" s="2430"/>
      <c r="AE157" s="2185">
        <v>0</v>
      </c>
      <c r="AF157" s="2185"/>
      <c r="AG157" s="2185"/>
      <c r="AH157" s="2185"/>
      <c r="AI157" s="2185"/>
      <c r="AJ157" s="2185"/>
      <c r="AK157" s="2185"/>
      <c r="AL157" s="2185">
        <v>0</v>
      </c>
      <c r="AM157" s="2185"/>
      <c r="AN157" s="2185"/>
      <c r="AO157" s="2185"/>
      <c r="AP157" s="2185"/>
      <c r="AQ157" s="2186"/>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29" t="s">
        <v>2177</v>
      </c>
      <c r="C158" s="2430"/>
      <c r="D158" s="2430"/>
      <c r="E158" s="2430"/>
      <c r="F158" s="2430"/>
      <c r="G158" s="2430"/>
      <c r="H158" s="2430"/>
      <c r="I158" s="2185">
        <v>0</v>
      </c>
      <c r="J158" s="2185"/>
      <c r="K158" s="2185"/>
      <c r="L158" s="2185"/>
      <c r="M158" s="2185"/>
      <c r="N158" s="2185"/>
      <c r="O158" s="2185"/>
      <c r="P158" s="2185">
        <v>0</v>
      </c>
      <c r="Q158" s="2185"/>
      <c r="R158" s="2185"/>
      <c r="S158" s="2185"/>
      <c r="T158" s="2185"/>
      <c r="U158" s="2186"/>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31" t="s">
        <v>2178</v>
      </c>
      <c r="D160" s="2227"/>
      <c r="E160" s="2227"/>
      <c r="F160" s="2227"/>
      <c r="G160" s="2227"/>
      <c r="H160" s="2227"/>
      <c r="I160" s="2227"/>
      <c r="J160" s="2227"/>
      <c r="K160" s="2227"/>
      <c r="L160" s="2227"/>
      <c r="M160" s="2227"/>
      <c r="N160" s="2227"/>
      <c r="O160" s="2227"/>
      <c r="P160" s="2227"/>
      <c r="Q160" s="2227"/>
      <c r="R160" s="2227"/>
      <c r="S160" s="2227"/>
      <c r="T160" s="2227"/>
      <c r="U160" s="2227"/>
      <c r="V160" s="2227"/>
      <c r="W160" s="2227"/>
      <c r="X160" s="2227"/>
      <c r="Y160" s="2227"/>
      <c r="Z160" s="2227"/>
      <c r="AA160" s="2227"/>
      <c r="AB160" s="2227"/>
      <c r="AC160" s="2227"/>
      <c r="AD160" s="2227"/>
      <c r="AE160" s="2227"/>
      <c r="AF160" s="2227"/>
      <c r="AG160" s="2228"/>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10" t="s">
        <v>1839</v>
      </c>
      <c r="D161" s="2411"/>
      <c r="E161" s="2411"/>
      <c r="F161" s="2411"/>
      <c r="G161" s="2411"/>
      <c r="H161" s="2411"/>
      <c r="I161" s="2411"/>
      <c r="J161" s="2411"/>
      <c r="K161" s="2411"/>
      <c r="L161" s="2411"/>
      <c r="M161" s="2411"/>
      <c r="N161" s="2411"/>
      <c r="O161" s="2411"/>
      <c r="P161" s="2411"/>
      <c r="Q161" s="2411" t="s">
        <v>1840</v>
      </c>
      <c r="R161" s="2411"/>
      <c r="S161" s="2411"/>
      <c r="T161" s="2192" t="s">
        <v>2179</v>
      </c>
      <c r="U161" s="2192"/>
      <c r="V161" s="2192"/>
      <c r="W161" s="2192"/>
      <c r="X161" s="2192"/>
      <c r="Y161" s="2192"/>
      <c r="Z161" s="2192"/>
      <c r="AA161" s="2192"/>
      <c r="AB161" s="2411" t="s">
        <v>1841</v>
      </c>
      <c r="AC161" s="2411"/>
      <c r="AD161" s="2411"/>
      <c r="AE161" s="2411"/>
      <c r="AF161" s="2411"/>
      <c r="AG161" s="2412"/>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19" t="s">
        <v>1842</v>
      </c>
      <c r="D162" s="2420"/>
      <c r="E162" s="2420"/>
      <c r="F162" s="2420"/>
      <c r="G162" s="2420"/>
      <c r="H162" s="2420"/>
      <c r="I162" s="2420"/>
      <c r="J162" s="2420"/>
      <c r="K162" s="2420"/>
      <c r="L162" s="2420"/>
      <c r="M162" s="2420"/>
      <c r="N162" s="2420"/>
      <c r="O162" s="2420"/>
      <c r="P162" s="2420"/>
      <c r="Q162" s="2369">
        <v>55</v>
      </c>
      <c r="R162" s="2369"/>
      <c r="S162" s="2369"/>
      <c r="T162" s="2383"/>
      <c r="U162" s="2383"/>
      <c r="V162" s="2383"/>
      <c r="W162" s="2383"/>
      <c r="X162" s="2383"/>
      <c r="Y162" s="2383"/>
      <c r="Z162" s="2383"/>
      <c r="AA162" s="2383"/>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19" t="s">
        <v>1843</v>
      </c>
      <c r="D163" s="2420"/>
      <c r="E163" s="2420"/>
      <c r="F163" s="2420"/>
      <c r="G163" s="2420"/>
      <c r="H163" s="2420"/>
      <c r="I163" s="2420"/>
      <c r="J163" s="2420"/>
      <c r="K163" s="2420"/>
      <c r="L163" s="2420"/>
      <c r="M163" s="2420"/>
      <c r="N163" s="2420"/>
      <c r="O163" s="2420"/>
      <c r="P163" s="2420"/>
      <c r="Q163" s="2369">
        <v>55</v>
      </c>
      <c r="R163" s="2369"/>
      <c r="S163" s="2369"/>
      <c r="T163" s="2422"/>
      <c r="U163" s="2422"/>
      <c r="V163" s="2422"/>
      <c r="W163" s="2422"/>
      <c r="X163" s="2422"/>
      <c r="Y163" s="2422"/>
      <c r="Z163" s="2422"/>
      <c r="AA163" s="2422"/>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19" t="s">
        <v>1844</v>
      </c>
      <c r="D164" s="2420"/>
      <c r="E164" s="2420"/>
      <c r="F164" s="2420"/>
      <c r="G164" s="2420"/>
      <c r="H164" s="2420"/>
      <c r="I164" s="2420"/>
      <c r="J164" s="2420"/>
      <c r="K164" s="2420"/>
      <c r="L164" s="2420"/>
      <c r="M164" s="2420"/>
      <c r="N164" s="2420"/>
      <c r="O164" s="2420"/>
      <c r="P164" s="2420"/>
      <c r="Q164" s="2369">
        <v>55</v>
      </c>
      <c r="R164" s="2369"/>
      <c r="S164" s="2369"/>
      <c r="T164" s="2383"/>
      <c r="U164" s="2383"/>
      <c r="V164" s="2383"/>
      <c r="W164" s="2383"/>
      <c r="X164" s="2383"/>
      <c r="Y164" s="2383"/>
      <c r="Z164" s="2383"/>
      <c r="AA164" s="2383"/>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19" t="s">
        <v>1815</v>
      </c>
      <c r="D165" s="2420"/>
      <c r="E165" s="2420"/>
      <c r="F165" s="2420"/>
      <c r="G165" s="2420"/>
      <c r="H165" s="2420"/>
      <c r="I165" s="2420"/>
      <c r="J165" s="2420"/>
      <c r="K165" s="2420"/>
      <c r="L165" s="2420"/>
      <c r="M165" s="2420"/>
      <c r="N165" s="2420"/>
      <c r="O165" s="2420"/>
      <c r="P165" s="2420"/>
      <c r="Q165" s="2369">
        <v>55</v>
      </c>
      <c r="R165" s="2369"/>
      <c r="S165" s="2369"/>
      <c r="T165" s="2383"/>
      <c r="U165" s="2383"/>
      <c r="V165" s="2383"/>
      <c r="W165" s="2383"/>
      <c r="X165" s="2383"/>
      <c r="Y165" s="2383"/>
      <c r="Z165" s="2383"/>
      <c r="AA165" s="2383"/>
      <c r="AB165" s="2423">
        <v>0</v>
      </c>
      <c r="AC165" s="2423"/>
      <c r="AD165" s="2423"/>
      <c r="AE165" s="2423"/>
      <c r="AF165" s="2423"/>
      <c r="AG165" s="2424"/>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19" t="s">
        <v>170</v>
      </c>
      <c r="D166" s="2420"/>
      <c r="E166" s="2420"/>
      <c r="F166" s="2421" t="s">
        <v>1845</v>
      </c>
      <c r="G166" s="2421"/>
      <c r="H166" s="2421"/>
      <c r="I166" s="2421"/>
      <c r="J166" s="2421"/>
      <c r="K166" s="2421"/>
      <c r="L166" s="2421"/>
      <c r="M166" s="2421"/>
      <c r="N166" s="2421"/>
      <c r="O166" s="2421"/>
      <c r="P166" s="2421"/>
      <c r="Q166" s="2369">
        <v>55</v>
      </c>
      <c r="R166" s="2369"/>
      <c r="S166" s="2369"/>
      <c r="T166" s="2422"/>
      <c r="U166" s="2422"/>
      <c r="V166" s="2422"/>
      <c r="W166" s="2422"/>
      <c r="X166" s="2422"/>
      <c r="Y166" s="2422"/>
      <c r="Z166" s="2422"/>
      <c r="AA166" s="2422"/>
      <c r="AB166" s="2423">
        <v>0</v>
      </c>
      <c r="AC166" s="2423"/>
      <c r="AD166" s="2423"/>
      <c r="AE166" s="2423"/>
      <c r="AF166" s="2423"/>
      <c r="AG166" s="2424"/>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19" t="s">
        <v>170</v>
      </c>
      <c r="D167" s="2420"/>
      <c r="E167" s="2420"/>
      <c r="F167" s="2421" t="s">
        <v>1845</v>
      </c>
      <c r="G167" s="2421"/>
      <c r="H167" s="2421"/>
      <c r="I167" s="2421"/>
      <c r="J167" s="2421"/>
      <c r="K167" s="2421"/>
      <c r="L167" s="2421"/>
      <c r="M167" s="2421"/>
      <c r="N167" s="2421"/>
      <c r="O167" s="2421"/>
      <c r="P167" s="2421"/>
      <c r="Q167" s="2369">
        <v>55</v>
      </c>
      <c r="R167" s="2369"/>
      <c r="S167" s="2369"/>
      <c r="T167" s="2422"/>
      <c r="U167" s="2422"/>
      <c r="V167" s="2422"/>
      <c r="W167" s="2422"/>
      <c r="X167" s="2422"/>
      <c r="Y167" s="2422"/>
      <c r="Z167" s="2422"/>
      <c r="AA167" s="2422"/>
      <c r="AB167" s="2423">
        <v>0</v>
      </c>
      <c r="AC167" s="2423"/>
      <c r="AD167" s="2423"/>
      <c r="AE167" s="2423"/>
      <c r="AF167" s="2423"/>
      <c r="AG167" s="2424"/>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90" t="s">
        <v>170</v>
      </c>
      <c r="D168" s="2391"/>
      <c r="E168" s="2391"/>
      <c r="F168" s="2392" t="s">
        <v>1845</v>
      </c>
      <c r="G168" s="2392"/>
      <c r="H168" s="2392"/>
      <c r="I168" s="2392"/>
      <c r="J168" s="2392"/>
      <c r="K168" s="2392"/>
      <c r="L168" s="2392"/>
      <c r="M168" s="2392"/>
      <c r="N168" s="2392"/>
      <c r="O168" s="2392"/>
      <c r="P168" s="2392"/>
      <c r="Q168" s="2393">
        <v>55</v>
      </c>
      <c r="R168" s="2393"/>
      <c r="S168" s="2393"/>
      <c r="T168" s="2394"/>
      <c r="U168" s="2394"/>
      <c r="V168" s="2394"/>
      <c r="W168" s="2394"/>
      <c r="X168" s="2394"/>
      <c r="Y168" s="2394"/>
      <c r="Z168" s="2394"/>
      <c r="AA168" s="2394"/>
      <c r="AB168" s="2395">
        <v>0</v>
      </c>
      <c r="AC168" s="2395"/>
      <c r="AD168" s="2395"/>
      <c r="AE168" s="2395"/>
      <c r="AF168" s="2395"/>
      <c r="AG168" s="2396"/>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94" t="s">
        <v>1846</v>
      </c>
      <c r="D170" s="2195"/>
      <c r="E170" s="2195"/>
      <c r="F170" s="2195"/>
      <c r="G170" s="2195"/>
      <c r="H170" s="2195"/>
      <c r="I170" s="2195"/>
      <c r="J170" s="2195"/>
      <c r="K170" s="2195"/>
      <c r="L170" s="2195"/>
      <c r="M170" s="2195"/>
      <c r="N170" s="2196"/>
      <c r="O170" s="1206"/>
      <c r="P170" s="2407" t="s">
        <v>1847</v>
      </c>
      <c r="Q170" s="2408"/>
      <c r="R170" s="2408"/>
      <c r="S170" s="2408"/>
      <c r="T170" s="2408"/>
      <c r="U170" s="2408"/>
      <c r="V170" s="2408"/>
      <c r="W170" s="2408"/>
      <c r="X170" s="2408"/>
      <c r="Y170" s="2408"/>
      <c r="Z170" s="2408"/>
      <c r="AA170" s="2408"/>
      <c r="AB170" s="2408"/>
      <c r="AC170" s="2408"/>
      <c r="AD170" s="2408"/>
      <c r="AE170" s="2408"/>
      <c r="AF170" s="2408"/>
      <c r="AG170" s="2408"/>
      <c r="AH170" s="2408"/>
      <c r="AI170" s="2408"/>
      <c r="AJ170" s="2408"/>
      <c r="AK170" s="2408"/>
      <c r="AL170" s="2408"/>
      <c r="AM170" s="2408"/>
      <c r="AN170" s="2408"/>
      <c r="AO170" s="2409"/>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10" t="s">
        <v>1848</v>
      </c>
      <c r="D171" s="2411"/>
      <c r="E171" s="2411"/>
      <c r="F171" s="2411"/>
      <c r="G171" s="2411"/>
      <c r="H171" s="2411"/>
      <c r="I171" s="2411" t="s">
        <v>1849</v>
      </c>
      <c r="J171" s="2411"/>
      <c r="K171" s="2411"/>
      <c r="L171" s="2411"/>
      <c r="M171" s="2411"/>
      <c r="N171" s="2412"/>
      <c r="O171" s="1206"/>
      <c r="P171" s="2413" t="s">
        <v>2187</v>
      </c>
      <c r="Q171" s="2414"/>
      <c r="R171" s="2414"/>
      <c r="S171" s="2414"/>
      <c r="T171" s="2414"/>
      <c r="U171" s="2414"/>
      <c r="V171" s="2414"/>
      <c r="W171" s="2414"/>
      <c r="X171" s="2414"/>
      <c r="Y171" s="2414"/>
      <c r="Z171" s="2414"/>
      <c r="AA171" s="2414"/>
      <c r="AB171" s="2414"/>
      <c r="AC171" s="2414"/>
      <c r="AD171" s="2414"/>
      <c r="AE171" s="2414"/>
      <c r="AF171" s="2414"/>
      <c r="AG171" s="2414"/>
      <c r="AH171" s="2414"/>
      <c r="AI171" s="2414"/>
      <c r="AJ171" s="2414"/>
      <c r="AK171" s="2414"/>
      <c r="AL171" s="2414"/>
      <c r="AM171" s="2414"/>
      <c r="AN171" s="2414"/>
      <c r="AO171" s="2415"/>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62"/>
      <c r="D172" s="2363"/>
      <c r="E172" s="2363"/>
      <c r="F172" s="2363"/>
      <c r="G172" s="2363"/>
      <c r="H172" s="2363"/>
      <c r="I172" s="2383"/>
      <c r="J172" s="2383"/>
      <c r="K172" s="2383"/>
      <c r="L172" s="2383"/>
      <c r="M172" s="2383"/>
      <c r="N172" s="2384"/>
      <c r="O172" s="1206"/>
      <c r="P172" s="2413"/>
      <c r="Q172" s="2414"/>
      <c r="R172" s="2414"/>
      <c r="S172" s="2414"/>
      <c r="T172" s="2414"/>
      <c r="U172" s="2414"/>
      <c r="V172" s="2414"/>
      <c r="W172" s="2414"/>
      <c r="X172" s="2414"/>
      <c r="Y172" s="2414"/>
      <c r="Z172" s="2414"/>
      <c r="AA172" s="2414"/>
      <c r="AB172" s="2414"/>
      <c r="AC172" s="2414"/>
      <c r="AD172" s="2414"/>
      <c r="AE172" s="2414"/>
      <c r="AF172" s="2414"/>
      <c r="AG172" s="2414"/>
      <c r="AH172" s="2414"/>
      <c r="AI172" s="2414"/>
      <c r="AJ172" s="2414"/>
      <c r="AK172" s="2414"/>
      <c r="AL172" s="2414"/>
      <c r="AM172" s="2414"/>
      <c r="AN172" s="2414"/>
      <c r="AO172" s="2415"/>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62"/>
      <c r="D173" s="2363"/>
      <c r="E173" s="2363"/>
      <c r="F173" s="2363"/>
      <c r="G173" s="2363"/>
      <c r="H173" s="2363"/>
      <c r="I173" s="2383"/>
      <c r="J173" s="2383"/>
      <c r="K173" s="2383"/>
      <c r="L173" s="2383"/>
      <c r="M173" s="2383"/>
      <c r="N173" s="2384"/>
      <c r="O173" s="1206"/>
      <c r="P173" s="2413"/>
      <c r="Q173" s="2414"/>
      <c r="R173" s="2414"/>
      <c r="S173" s="2414"/>
      <c r="T173" s="2414"/>
      <c r="U173" s="2414"/>
      <c r="V173" s="2414"/>
      <c r="W173" s="2414"/>
      <c r="X173" s="2414"/>
      <c r="Y173" s="2414"/>
      <c r="Z173" s="2414"/>
      <c r="AA173" s="2414"/>
      <c r="AB173" s="2414"/>
      <c r="AC173" s="2414"/>
      <c r="AD173" s="2414"/>
      <c r="AE173" s="2414"/>
      <c r="AF173" s="2414"/>
      <c r="AG173" s="2414"/>
      <c r="AH173" s="2414"/>
      <c r="AI173" s="2414"/>
      <c r="AJ173" s="2414"/>
      <c r="AK173" s="2414"/>
      <c r="AL173" s="2414"/>
      <c r="AM173" s="2414"/>
      <c r="AN173" s="2414"/>
      <c r="AO173" s="2415"/>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62"/>
      <c r="D174" s="2363"/>
      <c r="E174" s="2363"/>
      <c r="F174" s="2363"/>
      <c r="G174" s="2363"/>
      <c r="H174" s="2363"/>
      <c r="I174" s="2383"/>
      <c r="J174" s="2383"/>
      <c r="K174" s="2383"/>
      <c r="L174" s="2383"/>
      <c r="M174" s="2383"/>
      <c r="N174" s="2384"/>
      <c r="O174" s="1206"/>
      <c r="P174" s="2413"/>
      <c r="Q174" s="2414"/>
      <c r="R174" s="2414"/>
      <c r="S174" s="2414"/>
      <c r="T174" s="2414"/>
      <c r="U174" s="2414"/>
      <c r="V174" s="2414"/>
      <c r="W174" s="2414"/>
      <c r="X174" s="2414"/>
      <c r="Y174" s="2414"/>
      <c r="Z174" s="2414"/>
      <c r="AA174" s="2414"/>
      <c r="AB174" s="2414"/>
      <c r="AC174" s="2414"/>
      <c r="AD174" s="2414"/>
      <c r="AE174" s="2414"/>
      <c r="AF174" s="2414"/>
      <c r="AG174" s="2414"/>
      <c r="AH174" s="2414"/>
      <c r="AI174" s="2414"/>
      <c r="AJ174" s="2414"/>
      <c r="AK174" s="2414"/>
      <c r="AL174" s="2414"/>
      <c r="AM174" s="2414"/>
      <c r="AN174" s="2414"/>
      <c r="AO174" s="2415"/>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62"/>
      <c r="D175" s="2363"/>
      <c r="E175" s="2363"/>
      <c r="F175" s="2363"/>
      <c r="G175" s="2363"/>
      <c r="H175" s="2363"/>
      <c r="I175" s="2383"/>
      <c r="J175" s="2383"/>
      <c r="K175" s="2383"/>
      <c r="L175" s="2383"/>
      <c r="M175" s="2383"/>
      <c r="N175" s="2384"/>
      <c r="O175" s="1206"/>
      <c r="P175" s="2413"/>
      <c r="Q175" s="2414"/>
      <c r="R175" s="2414"/>
      <c r="S175" s="2414"/>
      <c r="T175" s="2414"/>
      <c r="U175" s="2414"/>
      <c r="V175" s="2414"/>
      <c r="W175" s="2414"/>
      <c r="X175" s="2414"/>
      <c r="Y175" s="2414"/>
      <c r="Z175" s="2414"/>
      <c r="AA175" s="2414"/>
      <c r="AB175" s="2414"/>
      <c r="AC175" s="2414"/>
      <c r="AD175" s="2414"/>
      <c r="AE175" s="2414"/>
      <c r="AF175" s="2414"/>
      <c r="AG175" s="2414"/>
      <c r="AH175" s="2414"/>
      <c r="AI175" s="2414"/>
      <c r="AJ175" s="2414"/>
      <c r="AK175" s="2414"/>
      <c r="AL175" s="2414"/>
      <c r="AM175" s="2414"/>
      <c r="AN175" s="2414"/>
      <c r="AO175" s="2415"/>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62"/>
      <c r="D176" s="2363"/>
      <c r="E176" s="2363"/>
      <c r="F176" s="2363"/>
      <c r="G176" s="2363"/>
      <c r="H176" s="2363"/>
      <c r="I176" s="2383"/>
      <c r="J176" s="2383"/>
      <c r="K176" s="2383"/>
      <c r="L176" s="2383"/>
      <c r="M176" s="2383"/>
      <c r="N176" s="2384"/>
      <c r="O176" s="1206"/>
      <c r="P176" s="2413"/>
      <c r="Q176" s="2414"/>
      <c r="R176" s="2414"/>
      <c r="S176" s="2414"/>
      <c r="T176" s="2414"/>
      <c r="U176" s="2414"/>
      <c r="V176" s="2414"/>
      <c r="W176" s="2414"/>
      <c r="X176" s="2414"/>
      <c r="Y176" s="2414"/>
      <c r="Z176" s="2414"/>
      <c r="AA176" s="2414"/>
      <c r="AB176" s="2414"/>
      <c r="AC176" s="2414"/>
      <c r="AD176" s="2414"/>
      <c r="AE176" s="2414"/>
      <c r="AF176" s="2414"/>
      <c r="AG176" s="2414"/>
      <c r="AH176" s="2414"/>
      <c r="AI176" s="2414"/>
      <c r="AJ176" s="2414"/>
      <c r="AK176" s="2414"/>
      <c r="AL176" s="2414"/>
      <c r="AM176" s="2414"/>
      <c r="AN176" s="2414"/>
      <c r="AO176" s="2415"/>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62"/>
      <c r="D177" s="2363"/>
      <c r="E177" s="2363"/>
      <c r="F177" s="2363"/>
      <c r="G177" s="2363"/>
      <c r="H177" s="2363"/>
      <c r="I177" s="2383"/>
      <c r="J177" s="2383"/>
      <c r="K177" s="2383"/>
      <c r="L177" s="2383"/>
      <c r="M177" s="2383"/>
      <c r="N177" s="2384"/>
      <c r="O177" s="1206"/>
      <c r="P177" s="2413"/>
      <c r="Q177" s="2414"/>
      <c r="R177" s="2414"/>
      <c r="S177" s="2414"/>
      <c r="T177" s="2414"/>
      <c r="U177" s="2414"/>
      <c r="V177" s="2414"/>
      <c r="W177" s="2414"/>
      <c r="X177" s="2414"/>
      <c r="Y177" s="2414"/>
      <c r="Z177" s="2414"/>
      <c r="AA177" s="2414"/>
      <c r="AB177" s="2414"/>
      <c r="AC177" s="2414"/>
      <c r="AD177" s="2414"/>
      <c r="AE177" s="2414"/>
      <c r="AF177" s="2414"/>
      <c r="AG177" s="2414"/>
      <c r="AH177" s="2414"/>
      <c r="AI177" s="2414"/>
      <c r="AJ177" s="2414"/>
      <c r="AK177" s="2414"/>
      <c r="AL177" s="2414"/>
      <c r="AM177" s="2414"/>
      <c r="AN177" s="2414"/>
      <c r="AO177" s="2415"/>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97"/>
      <c r="D178" s="2398"/>
      <c r="E178" s="2398"/>
      <c r="F178" s="2398"/>
      <c r="G178" s="2398"/>
      <c r="H178" s="2398"/>
      <c r="I178" s="2399"/>
      <c r="J178" s="2399"/>
      <c r="K178" s="2399"/>
      <c r="L178" s="2399"/>
      <c r="M178" s="2399"/>
      <c r="N178" s="2400"/>
      <c r="O178" s="1206"/>
      <c r="P178" s="2416"/>
      <c r="Q178" s="2417"/>
      <c r="R178" s="2417"/>
      <c r="S178" s="2417"/>
      <c r="T178" s="2417"/>
      <c r="U178" s="2417"/>
      <c r="V178" s="2417"/>
      <c r="W178" s="2417"/>
      <c r="X178" s="2417"/>
      <c r="Y178" s="2417"/>
      <c r="Z178" s="2417"/>
      <c r="AA178" s="2417"/>
      <c r="AB178" s="2417"/>
      <c r="AC178" s="2417"/>
      <c r="AD178" s="2417"/>
      <c r="AE178" s="2417"/>
      <c r="AF178" s="2417"/>
      <c r="AG178" s="2417"/>
      <c r="AH178" s="2417"/>
      <c r="AI178" s="2417"/>
      <c r="AJ178" s="2417"/>
      <c r="AK178" s="2417"/>
      <c r="AL178" s="2417"/>
      <c r="AM178" s="2417"/>
      <c r="AN178" s="2417"/>
      <c r="AO178" s="2418"/>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01" t="s">
        <v>2489</v>
      </c>
      <c r="D180" s="2402"/>
      <c r="E180" s="2402"/>
      <c r="F180" s="2402"/>
      <c r="G180" s="2402"/>
      <c r="H180" s="2402"/>
      <c r="I180" s="2402"/>
      <c r="J180" s="2402"/>
      <c r="K180" s="2402"/>
      <c r="L180" s="2402"/>
      <c r="M180" s="2402"/>
      <c r="N180" s="2402"/>
      <c r="O180" s="2402"/>
      <c r="P180" s="2402"/>
      <c r="Q180" s="2402"/>
      <c r="R180" s="2402"/>
      <c r="S180" s="2402"/>
      <c r="T180" s="2402"/>
      <c r="U180" s="2402"/>
      <c r="V180" s="2402"/>
      <c r="W180" s="2402"/>
      <c r="X180" s="2402"/>
      <c r="Y180" s="2402"/>
      <c r="Z180" s="2402"/>
      <c r="AA180" s="2402"/>
      <c r="AB180" s="2402"/>
      <c r="AC180" s="2402"/>
      <c r="AD180" s="2402"/>
      <c r="AE180" s="2403"/>
      <c r="AF180" s="1206"/>
      <c r="AG180" s="1206"/>
      <c r="AH180" s="2596" t="s">
        <v>2604</v>
      </c>
      <c r="AI180" s="2597"/>
      <c r="AJ180" s="2597"/>
      <c r="AK180" s="2597"/>
      <c r="AL180" s="2597"/>
      <c r="AM180" s="2597"/>
      <c r="AN180" s="2597"/>
      <c r="AO180" s="2597"/>
      <c r="AP180" s="2597"/>
      <c r="AQ180" s="2597"/>
      <c r="AR180" s="2597"/>
      <c r="AS180" s="2597"/>
      <c r="AT180" s="2597"/>
      <c r="AU180" s="2597"/>
      <c r="AV180" s="2597"/>
      <c r="AW180" s="2597"/>
      <c r="AX180" s="2597"/>
      <c r="AY180" s="2597"/>
      <c r="AZ180" s="2597"/>
      <c r="BA180" s="2597"/>
      <c r="BB180" s="2597"/>
      <c r="BC180" s="2597"/>
      <c r="BD180" s="2597"/>
      <c r="BE180" s="2598"/>
    </row>
    <row r="181" spans="1:57" ht="15.75" customHeight="1" thickBot="1">
      <c r="A181" s="1206"/>
      <c r="B181" s="1206"/>
      <c r="C181" s="2404"/>
      <c r="D181" s="2405"/>
      <c r="E181" s="2405"/>
      <c r="F181" s="2405"/>
      <c r="G181" s="2405"/>
      <c r="H181" s="2405"/>
      <c r="I181" s="2405"/>
      <c r="J181" s="2405"/>
      <c r="K181" s="2405"/>
      <c r="L181" s="2405"/>
      <c r="M181" s="2405"/>
      <c r="N181" s="2405"/>
      <c r="O181" s="2405"/>
      <c r="P181" s="2405"/>
      <c r="Q181" s="2405"/>
      <c r="R181" s="2405"/>
      <c r="S181" s="2405"/>
      <c r="T181" s="2405"/>
      <c r="U181" s="2405"/>
      <c r="V181" s="2405"/>
      <c r="W181" s="2405"/>
      <c r="X181" s="2405"/>
      <c r="Y181" s="2405"/>
      <c r="Z181" s="2405"/>
      <c r="AA181" s="2405"/>
      <c r="AB181" s="2405"/>
      <c r="AC181" s="2405"/>
      <c r="AD181" s="2405"/>
      <c r="AE181" s="2406"/>
      <c r="AF181" s="1206"/>
      <c r="AG181" s="1206"/>
      <c r="AH181" s="2599" t="s">
        <v>2625</v>
      </c>
      <c r="AI181" s="2599"/>
      <c r="AJ181" s="2599"/>
      <c r="AK181" s="2599"/>
      <c r="AL181" s="2599"/>
      <c r="AM181" s="2599"/>
      <c r="AN181" s="2599"/>
      <c r="AO181" s="2599"/>
      <c r="AP181" s="2599"/>
      <c r="AQ181" s="2599"/>
      <c r="AR181" s="2599"/>
      <c r="AS181" s="2599"/>
      <c r="AT181" s="2599"/>
      <c r="AU181" s="2599"/>
      <c r="AV181" s="2599"/>
      <c r="AW181" s="2599"/>
      <c r="AX181" s="2599"/>
      <c r="AY181" s="2599"/>
      <c r="AZ181" s="2599"/>
      <c r="BA181" s="2599"/>
      <c r="BB181" s="2599"/>
      <c r="BC181" s="2599"/>
      <c r="BD181" s="2599"/>
      <c r="BE181" s="2599"/>
    </row>
    <row r="182" spans="1:57" ht="15.75" customHeight="1">
      <c r="A182" s="1206"/>
      <c r="B182" s="1206"/>
      <c r="C182" s="2194" t="s">
        <v>1839</v>
      </c>
      <c r="D182" s="2195"/>
      <c r="E182" s="2195"/>
      <c r="F182" s="2195"/>
      <c r="G182" s="2195"/>
      <c r="H182" s="2195"/>
      <c r="I182" s="2195"/>
      <c r="J182" s="2195"/>
      <c r="K182" s="2195"/>
      <c r="L182" s="2195"/>
      <c r="M182" s="2195"/>
      <c r="N182" s="2195" t="s">
        <v>1850</v>
      </c>
      <c r="O182" s="2195"/>
      <c r="P182" s="2195"/>
      <c r="Q182" s="2195"/>
      <c r="R182" s="2195"/>
      <c r="S182" s="2195"/>
      <c r="T182" s="2195"/>
      <c r="U182" s="2227" t="s">
        <v>1839</v>
      </c>
      <c r="V182" s="2227"/>
      <c r="W182" s="2227"/>
      <c r="X182" s="2227"/>
      <c r="Y182" s="2227"/>
      <c r="Z182" s="2227"/>
      <c r="AA182" s="2227"/>
      <c r="AB182" s="2227"/>
      <c r="AC182" s="2227"/>
      <c r="AD182" s="2227"/>
      <c r="AE182" s="2228"/>
      <c r="AF182" s="1206"/>
      <c r="AG182" s="1206"/>
      <c r="AH182" s="2382" t="s">
        <v>2609</v>
      </c>
      <c r="AI182" s="2382"/>
      <c r="AJ182" s="2382"/>
      <c r="AK182" s="2382"/>
      <c r="AL182" s="2382"/>
      <c r="AM182" s="2382"/>
      <c r="AN182" s="2382"/>
      <c r="AO182" s="2382"/>
      <c r="AP182" s="2382"/>
      <c r="AQ182" s="2382"/>
      <c r="AR182" s="2382"/>
      <c r="AS182" s="2382"/>
      <c r="AT182" s="2382"/>
      <c r="AU182" s="2607">
        <v>2500000</v>
      </c>
      <c r="AV182" s="2607"/>
      <c r="AW182" s="2607"/>
      <c r="AX182" s="2607"/>
      <c r="AY182" s="2607"/>
      <c r="AZ182" s="2607"/>
      <c r="BA182" s="2607"/>
      <c r="BB182" s="2607"/>
      <c r="BC182" s="2611"/>
      <c r="BD182" s="2612"/>
      <c r="BE182" s="2613"/>
    </row>
    <row r="183" spans="1:57" ht="15.75" customHeight="1">
      <c r="A183" s="1206"/>
      <c r="B183" s="1206"/>
      <c r="C183" s="2371" t="s">
        <v>2490</v>
      </c>
      <c r="D183" s="2372"/>
      <c r="E183" s="2372"/>
      <c r="F183" s="2372"/>
      <c r="G183" s="2372"/>
      <c r="H183" s="2372"/>
      <c r="I183" s="2372"/>
      <c r="J183" s="2372"/>
      <c r="K183" s="2372"/>
      <c r="L183" s="2372"/>
      <c r="M183" s="2372"/>
      <c r="N183" s="2385">
        <f>'Sources and Uses Budget'!B105</f>
        <v>108545328</v>
      </c>
      <c r="O183" s="2385"/>
      <c r="P183" s="2385"/>
      <c r="Q183" s="2385"/>
      <c r="R183" s="2385"/>
      <c r="S183" s="2385"/>
      <c r="T183" s="2385"/>
      <c r="U183" s="2386"/>
      <c r="V183" s="2386"/>
      <c r="W183" s="2386"/>
      <c r="X183" s="2386"/>
      <c r="Y183" s="2386"/>
      <c r="Z183" s="2386"/>
      <c r="AA183" s="2386"/>
      <c r="AB183" s="2386"/>
      <c r="AC183" s="2386"/>
      <c r="AD183" s="2386"/>
      <c r="AE183" s="2387"/>
      <c r="AF183" s="1206"/>
      <c r="AG183" s="1206"/>
      <c r="AH183" s="2382" t="s">
        <v>2608</v>
      </c>
      <c r="AI183" s="2382"/>
      <c r="AJ183" s="2382"/>
      <c r="AK183" s="2382"/>
      <c r="AL183" s="2382"/>
      <c r="AM183" s="2382"/>
      <c r="AN183" s="2382"/>
      <c r="AO183" s="2382"/>
      <c r="AP183" s="2382"/>
      <c r="AQ183" s="2382"/>
      <c r="AR183" s="2382"/>
      <c r="AS183" s="2382"/>
      <c r="AT183" s="2382"/>
      <c r="AU183" s="2608">
        <f>MAX(0,Application!AG439-100)*20000</f>
        <v>900000</v>
      </c>
      <c r="AV183" s="2608"/>
      <c r="AW183" s="2608"/>
      <c r="AX183" s="2608"/>
      <c r="AY183" s="2608"/>
      <c r="AZ183" s="2608"/>
      <c r="BA183" s="2608"/>
      <c r="BB183" s="2608"/>
      <c r="BC183" s="2341"/>
      <c r="BD183" s="2342"/>
      <c r="BE183" s="2343"/>
    </row>
    <row r="184" spans="1:57" ht="15.75" customHeight="1">
      <c r="A184" s="1206"/>
      <c r="B184" s="1206"/>
      <c r="C184" s="2371" t="s">
        <v>2491</v>
      </c>
      <c r="D184" s="2372"/>
      <c r="E184" s="2372"/>
      <c r="F184" s="2372"/>
      <c r="G184" s="2372"/>
      <c r="H184" s="2372"/>
      <c r="I184" s="2372"/>
      <c r="J184" s="2372"/>
      <c r="K184" s="2372"/>
      <c r="L184" s="2372"/>
      <c r="M184" s="2372"/>
      <c r="N184" s="2385">
        <f>N183/J29</f>
        <v>748588.46896551724</v>
      </c>
      <c r="O184" s="2385"/>
      <c r="P184" s="2385"/>
      <c r="Q184" s="2385"/>
      <c r="R184" s="2385"/>
      <c r="S184" s="2385"/>
      <c r="T184" s="2385"/>
      <c r="U184" s="1222"/>
      <c r="V184" s="1222"/>
      <c r="W184" s="1222"/>
      <c r="X184" s="1222"/>
      <c r="Y184" s="1222"/>
      <c r="Z184" s="1222"/>
      <c r="AA184" s="1222"/>
      <c r="AB184" s="1222"/>
      <c r="AC184" s="1222"/>
      <c r="AD184" s="1222"/>
      <c r="AE184" s="1221"/>
      <c r="AF184" s="1206"/>
      <c r="AG184" s="1206"/>
      <c r="AH184" s="2600" t="s">
        <v>2607</v>
      </c>
      <c r="AI184" s="2600"/>
      <c r="AJ184" s="2600"/>
      <c r="AK184" s="2600"/>
      <c r="AL184" s="2600"/>
      <c r="AM184" s="2600"/>
      <c r="AN184" s="2600"/>
      <c r="AO184" s="2600"/>
      <c r="AP184" s="2600"/>
      <c r="AQ184" s="2600"/>
      <c r="AR184" s="2600"/>
      <c r="AS184" s="2600"/>
      <c r="AT184" s="2600"/>
      <c r="AU184" s="2340">
        <f>AU182+AU183</f>
        <v>3400000</v>
      </c>
      <c r="AV184" s="2340"/>
      <c r="AW184" s="2340"/>
      <c r="AX184" s="2340"/>
      <c r="AY184" s="2340"/>
      <c r="AZ184" s="2340"/>
      <c r="BA184" s="2340"/>
      <c r="BB184" s="2340"/>
      <c r="BC184" s="2341"/>
      <c r="BD184" s="2342"/>
      <c r="BE184" s="2343"/>
    </row>
    <row r="185" spans="1:57" ht="15.75" customHeight="1">
      <c r="A185" s="1206"/>
      <c r="B185" s="1206"/>
      <c r="C185" s="2388" t="s">
        <v>2492</v>
      </c>
      <c r="D185" s="2389"/>
      <c r="E185" s="2389"/>
      <c r="F185" s="2389"/>
      <c r="G185" s="2389"/>
      <c r="H185" s="2389"/>
      <c r="I185" s="2389"/>
      <c r="J185" s="2389"/>
      <c r="K185" s="2389"/>
      <c r="L185" s="2389"/>
      <c r="M185" s="2389"/>
      <c r="N185" s="2223">
        <v>0</v>
      </c>
      <c r="O185" s="2223"/>
      <c r="P185" s="2223"/>
      <c r="Q185" s="2223"/>
      <c r="R185" s="2223"/>
      <c r="S185" s="2223"/>
      <c r="T185" s="2223"/>
      <c r="U185" s="2366"/>
      <c r="V185" s="2366"/>
      <c r="W185" s="2366"/>
      <c r="X185" s="2366"/>
      <c r="Y185" s="2366"/>
      <c r="Z185" s="2366"/>
      <c r="AA185" s="2366"/>
      <c r="AB185" s="2366"/>
      <c r="AC185" s="2366"/>
      <c r="AD185" s="2366"/>
      <c r="AE185" s="2367"/>
      <c r="AF185" s="1206"/>
      <c r="AG185" s="1206"/>
      <c r="AH185" s="2610" t="s">
        <v>2606</v>
      </c>
      <c r="AI185" s="2610"/>
      <c r="AJ185" s="2610"/>
      <c r="AK185" s="2610"/>
      <c r="AL185" s="2610"/>
      <c r="AM185" s="2610"/>
      <c r="AN185" s="2610"/>
      <c r="AO185" s="2610"/>
      <c r="AP185" s="2610"/>
      <c r="AQ185" s="2610"/>
      <c r="AR185" s="2610"/>
      <c r="AS185" s="2610"/>
      <c r="AT185" s="2610"/>
      <c r="AU185" s="2609" t="str">
        <f>IF(AU189-AU192&lt;=AU184,"Y","N")</f>
        <v>Y</v>
      </c>
      <c r="AV185" s="2609"/>
      <c r="AW185" s="2609"/>
      <c r="AX185" s="2609"/>
      <c r="AY185" s="2609"/>
      <c r="AZ185" s="2609"/>
      <c r="BA185" s="2609"/>
      <c r="BB185" s="2609"/>
      <c r="BC185" s="2341"/>
      <c r="BD185" s="2342"/>
      <c r="BE185" s="2343"/>
    </row>
    <row r="186" spans="1:57" ht="15.75" customHeight="1" thickBot="1">
      <c r="A186" s="1206"/>
      <c r="B186" s="1206"/>
      <c r="C186" s="2371" t="s">
        <v>2493</v>
      </c>
      <c r="D186" s="2372"/>
      <c r="E186" s="2372"/>
      <c r="F186" s="2372"/>
      <c r="G186" s="2372"/>
      <c r="H186" s="2372"/>
      <c r="I186" s="2372"/>
      <c r="J186" s="2372"/>
      <c r="K186" s="2372"/>
      <c r="L186" s="2372"/>
      <c r="M186" s="2372"/>
      <c r="N186" s="2373">
        <f>SUM('Sources and Uses Budget'!B85:B86)</f>
        <v>1080000</v>
      </c>
      <c r="O186" s="2373"/>
      <c r="P186" s="2373"/>
      <c r="Q186" s="2373"/>
      <c r="R186" s="2373"/>
      <c r="S186" s="2373"/>
      <c r="T186" s="2373"/>
      <c r="U186" s="2366"/>
      <c r="V186" s="2366"/>
      <c r="W186" s="2366"/>
      <c r="X186" s="2366"/>
      <c r="Y186" s="2366"/>
      <c r="Z186" s="2366"/>
      <c r="AA186" s="2366"/>
      <c r="AB186" s="2366"/>
      <c r="AC186" s="2366"/>
      <c r="AD186" s="2366"/>
      <c r="AE186" s="2367"/>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71" t="s">
        <v>2494</v>
      </c>
      <c r="D187" s="2372"/>
      <c r="E187" s="2372"/>
      <c r="F187" s="2372"/>
      <c r="G187" s="2372"/>
      <c r="H187" s="2372"/>
      <c r="I187" s="2372"/>
      <c r="J187" s="2372"/>
      <c r="K187" s="2372"/>
      <c r="L187" s="2372"/>
      <c r="M187" s="2372"/>
      <c r="N187" s="2373">
        <f>'Sources and Uses Budget'!B8</f>
        <v>0</v>
      </c>
      <c r="O187" s="2373"/>
      <c r="P187" s="2373"/>
      <c r="Q187" s="2373"/>
      <c r="R187" s="2373"/>
      <c r="S187" s="2373"/>
      <c r="T187" s="2373"/>
      <c r="U187" s="2366"/>
      <c r="V187" s="2366"/>
      <c r="W187" s="2366"/>
      <c r="X187" s="2366"/>
      <c r="Y187" s="2366"/>
      <c r="Z187" s="2366"/>
      <c r="AA187" s="2366"/>
      <c r="AB187" s="2366"/>
      <c r="AC187" s="2366"/>
      <c r="AD187" s="2366"/>
      <c r="AE187" s="2367"/>
      <c r="AF187" s="1206"/>
      <c r="AG187" s="1206"/>
      <c r="AH187" s="2374" t="s">
        <v>1851</v>
      </c>
      <c r="AI187" s="2375"/>
      <c r="AJ187" s="2375"/>
      <c r="AK187" s="2375"/>
      <c r="AL187" s="2375"/>
      <c r="AM187" s="2375"/>
      <c r="AN187" s="2375"/>
      <c r="AO187" s="2375"/>
      <c r="AP187" s="2375"/>
      <c r="AQ187" s="2375"/>
      <c r="AR187" s="2375"/>
      <c r="AS187" s="2375"/>
      <c r="AT187" s="2375"/>
      <c r="AU187" s="2375"/>
      <c r="AV187" s="2375"/>
      <c r="AW187" s="2375"/>
      <c r="AX187" s="2375"/>
      <c r="AY187" s="2375"/>
      <c r="AZ187" s="2375"/>
      <c r="BA187" s="2375"/>
      <c r="BB187" s="2375"/>
      <c r="BC187" s="2375"/>
      <c r="BD187" s="2375"/>
      <c r="BE187" s="2376"/>
    </row>
    <row r="188" spans="1:57" ht="15.75" customHeight="1">
      <c r="A188" s="1206"/>
      <c r="B188" s="1206"/>
      <c r="C188" s="2371" t="s">
        <v>2495</v>
      </c>
      <c r="D188" s="2372"/>
      <c r="E188" s="2372"/>
      <c r="F188" s="2372"/>
      <c r="G188" s="2372"/>
      <c r="H188" s="2372"/>
      <c r="I188" s="2372"/>
      <c r="J188" s="2372"/>
      <c r="K188" s="2372"/>
      <c r="L188" s="2372"/>
      <c r="M188" s="2372"/>
      <c r="N188" s="2365">
        <v>0</v>
      </c>
      <c r="O188" s="2365"/>
      <c r="P188" s="2365"/>
      <c r="Q188" s="2365"/>
      <c r="R188" s="2365"/>
      <c r="S188" s="2365"/>
      <c r="T188" s="2365"/>
      <c r="U188" s="2366"/>
      <c r="V188" s="2366"/>
      <c r="W188" s="2366"/>
      <c r="X188" s="2366"/>
      <c r="Y188" s="2366"/>
      <c r="Z188" s="2366"/>
      <c r="AA188" s="2366"/>
      <c r="AB188" s="2366"/>
      <c r="AC188" s="2366"/>
      <c r="AD188" s="2366"/>
      <c r="AE188" s="2367"/>
      <c r="AF188" s="1206"/>
      <c r="AG188" s="1206"/>
      <c r="AH188" s="2377" t="s">
        <v>1851</v>
      </c>
      <c r="AI188" s="2377"/>
      <c r="AJ188" s="2377"/>
      <c r="AK188" s="2377"/>
      <c r="AL188" s="2377"/>
      <c r="AM188" s="2377"/>
      <c r="AN188" s="2377"/>
      <c r="AO188" s="2377"/>
      <c r="AP188" s="2377"/>
      <c r="AQ188" s="2377"/>
      <c r="AR188" s="2377"/>
      <c r="AS188" s="2377"/>
      <c r="AT188" s="2377"/>
      <c r="AU188" s="2378">
        <v>0</v>
      </c>
      <c r="AV188" s="2378"/>
      <c r="AW188" s="2378"/>
      <c r="AX188" s="2378"/>
      <c r="AY188" s="2378"/>
      <c r="AZ188" s="2378"/>
      <c r="BA188" s="2378"/>
      <c r="BB188" s="2378"/>
      <c r="BC188" s="2379"/>
      <c r="BD188" s="2380"/>
      <c r="BE188" s="2381"/>
    </row>
    <row r="189" spans="1:57" ht="15.75" customHeight="1">
      <c r="A189" s="1206"/>
      <c r="B189" s="1206"/>
      <c r="C189" s="2371" t="s">
        <v>2496</v>
      </c>
      <c r="D189" s="2372"/>
      <c r="E189" s="2372"/>
      <c r="F189" s="2372"/>
      <c r="G189" s="2372"/>
      <c r="H189" s="2372"/>
      <c r="I189" s="2372"/>
      <c r="J189" s="2372"/>
      <c r="K189" s="2372"/>
      <c r="L189" s="2372"/>
      <c r="M189" s="2372"/>
      <c r="N189" s="2365">
        <v>0</v>
      </c>
      <c r="O189" s="2365"/>
      <c r="P189" s="2365"/>
      <c r="Q189" s="2365"/>
      <c r="R189" s="2365"/>
      <c r="S189" s="2365"/>
      <c r="T189" s="2365"/>
      <c r="U189" s="2366"/>
      <c r="V189" s="2366"/>
      <c r="W189" s="2366"/>
      <c r="X189" s="2366"/>
      <c r="Y189" s="2366"/>
      <c r="Z189" s="2366"/>
      <c r="AA189" s="2366"/>
      <c r="AB189" s="2366"/>
      <c r="AC189" s="2366"/>
      <c r="AD189" s="2366"/>
      <c r="AE189" s="2367"/>
      <c r="AF189" s="1206"/>
      <c r="AG189" s="1206"/>
      <c r="AH189" s="2382" t="s">
        <v>2605</v>
      </c>
      <c r="AI189" s="2382"/>
      <c r="AJ189" s="2382"/>
      <c r="AK189" s="2382"/>
      <c r="AL189" s="2382"/>
      <c r="AM189" s="2382"/>
      <c r="AN189" s="2382"/>
      <c r="AO189" s="2382"/>
      <c r="AP189" s="2382"/>
      <c r="AQ189" s="2382"/>
      <c r="AR189" s="2382"/>
      <c r="AS189" s="2382"/>
      <c r="AT189" s="2382"/>
      <c r="AU189" s="2370"/>
      <c r="AV189" s="2370"/>
      <c r="AW189" s="2370"/>
      <c r="AX189" s="2370"/>
      <c r="AY189" s="2370"/>
      <c r="AZ189" s="2370"/>
      <c r="BA189" s="2370"/>
      <c r="BB189" s="2370"/>
      <c r="BC189" s="2341"/>
      <c r="BD189" s="2342"/>
      <c r="BE189" s="2343"/>
    </row>
    <row r="190" spans="1:57" ht="15.75" customHeight="1">
      <c r="A190" s="1206"/>
      <c r="B190" s="1206"/>
      <c r="C190" s="2368" t="s">
        <v>301</v>
      </c>
      <c r="D190" s="2369"/>
      <c r="E190" s="2364" t="s">
        <v>1845</v>
      </c>
      <c r="F190" s="2364"/>
      <c r="G190" s="2364"/>
      <c r="H190" s="2364"/>
      <c r="I190" s="2364"/>
      <c r="J190" s="2364"/>
      <c r="K190" s="2364"/>
      <c r="L190" s="2364"/>
      <c r="M190" s="2364"/>
      <c r="N190" s="2365">
        <v>0</v>
      </c>
      <c r="O190" s="2365"/>
      <c r="P190" s="2365"/>
      <c r="Q190" s="2365"/>
      <c r="R190" s="2365"/>
      <c r="S190" s="2365"/>
      <c r="T190" s="2365"/>
      <c r="U190" s="2366"/>
      <c r="V190" s="2366"/>
      <c r="W190" s="2366"/>
      <c r="X190" s="2366"/>
      <c r="Y190" s="2366"/>
      <c r="Z190" s="2366"/>
      <c r="AA190" s="2366"/>
      <c r="AB190" s="2366"/>
      <c r="AC190" s="2366"/>
      <c r="AD190" s="2366"/>
      <c r="AE190" s="2367"/>
      <c r="AF190" s="1206"/>
      <c r="AG190" s="1206"/>
      <c r="AH190" s="2600" t="s">
        <v>2604</v>
      </c>
      <c r="AI190" s="2600"/>
      <c r="AJ190" s="2600"/>
      <c r="AK190" s="2600"/>
      <c r="AL190" s="2600"/>
      <c r="AM190" s="2600"/>
      <c r="AN190" s="2600"/>
      <c r="AO190" s="2600"/>
      <c r="AP190" s="2600"/>
      <c r="AQ190" s="2600"/>
      <c r="AR190" s="2600"/>
      <c r="AS190" s="2600"/>
      <c r="AT190" s="2600"/>
      <c r="AU190" s="2340">
        <f>SUM(AU188:BB189)</f>
        <v>0</v>
      </c>
      <c r="AV190" s="2340"/>
      <c r="AW190" s="2340"/>
      <c r="AX190" s="2340"/>
      <c r="AY190" s="2340"/>
      <c r="AZ190" s="2340"/>
      <c r="BA190" s="2340"/>
      <c r="BB190" s="2340"/>
      <c r="BC190" s="2341"/>
      <c r="BD190" s="2342"/>
      <c r="BE190" s="2343"/>
    </row>
    <row r="191" spans="1:57" ht="15.75" customHeight="1" thickBot="1">
      <c r="A191" s="1206"/>
      <c r="B191" s="1206"/>
      <c r="C191" s="2362" t="s">
        <v>301</v>
      </c>
      <c r="D191" s="2363"/>
      <c r="E191" s="2364" t="s">
        <v>1845</v>
      </c>
      <c r="F191" s="2364"/>
      <c r="G191" s="2364"/>
      <c r="H191" s="2364"/>
      <c r="I191" s="2364"/>
      <c r="J191" s="2364"/>
      <c r="K191" s="2364"/>
      <c r="L191" s="2364"/>
      <c r="M191" s="2364"/>
      <c r="N191" s="2365">
        <v>0</v>
      </c>
      <c r="O191" s="2365"/>
      <c r="P191" s="2365"/>
      <c r="Q191" s="2365"/>
      <c r="R191" s="2365"/>
      <c r="S191" s="2365"/>
      <c r="T191" s="2365"/>
      <c r="U191" s="2366"/>
      <c r="V191" s="2366"/>
      <c r="W191" s="2366"/>
      <c r="X191" s="2366"/>
      <c r="Y191" s="2366"/>
      <c r="Z191" s="2366"/>
      <c r="AA191" s="2366"/>
      <c r="AB191" s="2366"/>
      <c r="AC191" s="2366"/>
      <c r="AD191" s="2366"/>
      <c r="AE191" s="2367"/>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44"/>
      <c r="BD191" s="2345"/>
      <c r="BE191" s="2346"/>
    </row>
    <row r="192" spans="1:57" ht="15.75" customHeight="1" thickBot="1">
      <c r="A192" s="1206"/>
      <c r="B192" s="1206"/>
      <c r="C192" s="2351" t="s">
        <v>301</v>
      </c>
      <c r="D192" s="2352"/>
      <c r="E192" s="2353" t="s">
        <v>1845</v>
      </c>
      <c r="F192" s="2353"/>
      <c r="G192" s="2353"/>
      <c r="H192" s="2353"/>
      <c r="I192" s="2353"/>
      <c r="J192" s="2353"/>
      <c r="K192" s="2353"/>
      <c r="L192" s="2353"/>
      <c r="M192" s="2354"/>
      <c r="N192" s="2355">
        <v>0</v>
      </c>
      <c r="O192" s="2355"/>
      <c r="P192" s="2355"/>
      <c r="Q192" s="2355"/>
      <c r="R192" s="2355"/>
      <c r="S192" s="2355"/>
      <c r="T192" s="2356"/>
      <c r="U192" s="2357"/>
      <c r="V192" s="2358"/>
      <c r="W192" s="2358"/>
      <c r="X192" s="2358"/>
      <c r="Y192" s="2358"/>
      <c r="Z192" s="2358"/>
      <c r="AA192" s="2358"/>
      <c r="AB192" s="2358"/>
      <c r="AC192" s="2358"/>
      <c r="AD192" s="2358"/>
      <c r="AE192" s="2359"/>
      <c r="AF192" s="1206"/>
      <c r="AG192" s="1206"/>
      <c r="AH192" s="2325" t="s">
        <v>1852</v>
      </c>
      <c r="AI192" s="2326"/>
      <c r="AJ192" s="2326"/>
      <c r="AK192" s="2326"/>
      <c r="AL192" s="2326"/>
      <c r="AM192" s="2326"/>
      <c r="AN192" s="2326"/>
      <c r="AO192" s="2326"/>
      <c r="AP192" s="2326"/>
      <c r="AQ192" s="2326"/>
      <c r="AR192" s="2326"/>
      <c r="AS192" s="2326"/>
      <c r="AT192" s="2326"/>
      <c r="AU192" s="2335"/>
      <c r="AV192" s="2335"/>
      <c r="AW192" s="2335"/>
      <c r="AX192" s="2335"/>
      <c r="AY192" s="2335"/>
      <c r="AZ192" s="2335"/>
      <c r="BA192" s="2335"/>
      <c r="BB192" s="2335"/>
      <c r="BC192" s="1219"/>
      <c r="BD192" s="1219"/>
      <c r="BE192" s="1218"/>
    </row>
    <row r="193" spans="1:57" ht="15.75" customHeight="1">
      <c r="A193" s="1206"/>
      <c r="B193" s="1206"/>
      <c r="C193" s="2347" t="s">
        <v>1853</v>
      </c>
      <c r="D193" s="2348"/>
      <c r="E193" s="2348"/>
      <c r="F193" s="2348"/>
      <c r="G193" s="2348"/>
      <c r="H193" s="2348"/>
      <c r="I193" s="2348"/>
      <c r="J193" s="2348"/>
      <c r="K193" s="2348"/>
      <c r="L193" s="2348"/>
      <c r="M193" s="2348"/>
      <c r="N193" s="2349">
        <f>SUM(N185:T192)</f>
        <v>1080000</v>
      </c>
      <c r="O193" s="2349"/>
      <c r="P193" s="2349"/>
      <c r="Q193" s="2349"/>
      <c r="R193" s="2349"/>
      <c r="S193" s="2349"/>
      <c r="T193" s="2350"/>
      <c r="U193" s="1206"/>
      <c r="V193" s="1206"/>
      <c r="W193" s="1206"/>
      <c r="X193" s="1206"/>
      <c r="Y193" s="1206"/>
      <c r="Z193" s="1206"/>
      <c r="AA193" s="1206"/>
      <c r="AB193" s="1206"/>
      <c r="AC193" s="1206"/>
      <c r="AD193" s="1206"/>
      <c r="AE193" s="1206"/>
      <c r="AF193" s="1206"/>
      <c r="AG193" s="1206"/>
      <c r="AH193" s="2360" t="s">
        <v>2603</v>
      </c>
      <c r="AI193" s="2360"/>
      <c r="AJ193" s="2360"/>
      <c r="AK193" s="2360"/>
      <c r="AL193" s="2360"/>
      <c r="AM193" s="2360"/>
      <c r="AN193" s="2360"/>
      <c r="AO193" s="2360"/>
      <c r="AP193" s="2360"/>
      <c r="AQ193" s="2360"/>
      <c r="AR193" s="2360"/>
      <c r="AS193" s="2360"/>
      <c r="AT193" s="2360"/>
      <c r="AU193" s="2360"/>
      <c r="AV193" s="2360"/>
      <c r="AW193" s="2360"/>
      <c r="AX193" s="2360"/>
      <c r="AY193" s="2360"/>
      <c r="AZ193" s="2360"/>
      <c r="BA193" s="2360"/>
      <c r="BB193" s="2360"/>
      <c r="BC193" s="2360"/>
      <c r="BD193" s="2360"/>
      <c r="BE193" s="2361"/>
    </row>
    <row r="194" spans="1:57" ht="15.75" customHeight="1" thickBot="1">
      <c r="A194" s="1206"/>
      <c r="B194" s="1206"/>
      <c r="C194" s="2327" t="s">
        <v>2497</v>
      </c>
      <c r="D194" s="2328"/>
      <c r="E194" s="2328"/>
      <c r="F194" s="2328"/>
      <c r="G194" s="2328"/>
      <c r="H194" s="2328"/>
      <c r="I194" s="2328"/>
      <c r="J194" s="2328"/>
      <c r="K194" s="2328"/>
      <c r="L194" s="2328"/>
      <c r="M194" s="2328"/>
      <c r="N194" s="2329">
        <f>(N183-N193)/J29</f>
        <v>741140.19310344825</v>
      </c>
      <c r="O194" s="2330"/>
      <c r="P194" s="2330"/>
      <c r="Q194" s="2330"/>
      <c r="R194" s="2330"/>
      <c r="S194" s="2330"/>
      <c r="T194" s="2331"/>
      <c r="U194" s="1217"/>
      <c r="V194" s="1206"/>
      <c r="W194" s="1206"/>
      <c r="X194" s="1206"/>
      <c r="Y194" s="1206"/>
      <c r="Z194" s="1206"/>
      <c r="AA194" s="1206"/>
      <c r="AB194" s="1206"/>
      <c r="AC194" s="1206"/>
      <c r="AD194" s="1206"/>
      <c r="AE194" s="1206"/>
      <c r="AF194" s="1206"/>
      <c r="AG194" s="1206"/>
      <c r="AH194" s="2360"/>
      <c r="AI194" s="2360"/>
      <c r="AJ194" s="2360"/>
      <c r="AK194" s="2360"/>
      <c r="AL194" s="2360"/>
      <c r="AM194" s="2360"/>
      <c r="AN194" s="2360"/>
      <c r="AO194" s="2360"/>
      <c r="AP194" s="2360"/>
      <c r="AQ194" s="2360"/>
      <c r="AR194" s="2360"/>
      <c r="AS194" s="2360"/>
      <c r="AT194" s="2360"/>
      <c r="AU194" s="2360"/>
      <c r="AV194" s="2360"/>
      <c r="AW194" s="2360"/>
      <c r="AX194" s="2360"/>
      <c r="AY194" s="2360"/>
      <c r="AZ194" s="2360"/>
      <c r="BA194" s="2360"/>
      <c r="BB194" s="2360"/>
      <c r="BC194" s="2360"/>
      <c r="BD194" s="2360"/>
      <c r="BE194" s="2361"/>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32"/>
      <c r="AI195" s="2332"/>
      <c r="AJ195" s="2332"/>
      <c r="AK195" s="2332"/>
      <c r="AL195" s="2332"/>
      <c r="AM195" s="2332"/>
      <c r="AN195" s="2332"/>
      <c r="AO195" s="2332"/>
      <c r="AP195" s="2332"/>
      <c r="AQ195" s="2332"/>
      <c r="AR195" s="2332"/>
      <c r="AS195" s="2336"/>
      <c r="AT195" s="2336"/>
      <c r="AU195" s="2336"/>
      <c r="AV195" s="2336"/>
      <c r="AW195" s="2336"/>
      <c r="AX195" s="2336"/>
      <c r="AY195" s="2336"/>
      <c r="AZ195" s="2336"/>
      <c r="BA195" s="2336"/>
      <c r="BB195" s="2336"/>
      <c r="BC195" s="2336"/>
      <c r="BD195" s="2336"/>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37" t="s">
        <v>2602</v>
      </c>
      <c r="D197" s="2338"/>
      <c r="E197" s="2338"/>
      <c r="F197" s="2338"/>
      <c r="G197" s="2338"/>
      <c r="H197" s="2338"/>
      <c r="I197" s="2338"/>
      <c r="J197" s="2338"/>
      <c r="K197" s="2338"/>
      <c r="L197" s="2338"/>
      <c r="M197" s="2338"/>
      <c r="N197" s="2338"/>
      <c r="O197" s="2338"/>
      <c r="P197" s="2338"/>
      <c r="Q197" s="2338"/>
      <c r="R197" s="2338"/>
      <c r="S197" s="2338"/>
      <c r="T197" s="2338"/>
      <c r="U197" s="2338"/>
      <c r="V197" s="2338"/>
      <c r="W197" s="2338"/>
      <c r="X197" s="2338"/>
      <c r="Y197" s="2338"/>
      <c r="Z197" s="2338"/>
      <c r="AA197" s="2338"/>
      <c r="AB197" s="2338"/>
      <c r="AC197" s="2338"/>
      <c r="AD197" s="2338"/>
      <c r="AE197" s="2339"/>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603" t="s">
        <v>2601</v>
      </c>
      <c r="D198" s="2603"/>
      <c r="E198" s="2603"/>
      <c r="F198" s="2603"/>
      <c r="G198" s="2603"/>
      <c r="H198" s="2603"/>
      <c r="I198" s="2603"/>
      <c r="J198" s="2603"/>
      <c r="K198" s="2603"/>
      <c r="L198" s="2603"/>
      <c r="M198" s="2603"/>
      <c r="N198" s="2603"/>
      <c r="O198" s="2604" t="s">
        <v>2600</v>
      </c>
      <c r="P198" s="2604"/>
      <c r="Q198" s="2604"/>
      <c r="R198" s="2604"/>
      <c r="S198" s="2604"/>
      <c r="T198" s="2604"/>
      <c r="U198" s="2604"/>
      <c r="V198" s="2604"/>
      <c r="W198" s="2604"/>
      <c r="X198" s="2604" t="s">
        <v>2599</v>
      </c>
      <c r="Y198" s="2604"/>
      <c r="Z198" s="2604"/>
      <c r="AA198" s="2604"/>
      <c r="AB198" s="2604"/>
      <c r="AC198" s="2604"/>
      <c r="AD198" s="2604"/>
      <c r="AE198" s="2604"/>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601" t="s">
        <v>2598</v>
      </c>
      <c r="D199" s="2601"/>
      <c r="E199" s="2601"/>
      <c r="F199" s="2601"/>
      <c r="G199" s="2601"/>
      <c r="H199" s="2601"/>
      <c r="I199" s="2601"/>
      <c r="J199" s="2601"/>
      <c r="K199" s="2601"/>
      <c r="L199" s="2601"/>
      <c r="M199" s="2601"/>
      <c r="N199" s="2601"/>
      <c r="O199" s="2333" t="s">
        <v>2597</v>
      </c>
      <c r="P199" s="2333"/>
      <c r="Q199" s="2333"/>
      <c r="R199" s="2333"/>
      <c r="S199" s="2333"/>
      <c r="T199" s="2333"/>
      <c r="U199" s="2333"/>
      <c r="V199" s="2333"/>
      <c r="W199" s="2333"/>
      <c r="X199" s="2334">
        <v>0.03</v>
      </c>
      <c r="Y199" s="2334"/>
      <c r="Z199" s="2334"/>
      <c r="AA199" s="2334"/>
      <c r="AB199" s="2334"/>
      <c r="AC199" s="2334"/>
      <c r="AD199" s="2334"/>
      <c r="AE199" s="2334"/>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601" t="s">
        <v>866</v>
      </c>
      <c r="D200" s="2601"/>
      <c r="E200" s="2601"/>
      <c r="F200" s="2601"/>
      <c r="G200" s="2601"/>
      <c r="H200" s="2601"/>
      <c r="I200" s="2601"/>
      <c r="J200" s="2601"/>
      <c r="K200" s="2601"/>
      <c r="L200" s="2601"/>
      <c r="M200" s="2601"/>
      <c r="N200" s="2601"/>
      <c r="O200" s="2333" t="s">
        <v>2597</v>
      </c>
      <c r="P200" s="2333"/>
      <c r="Q200" s="2333"/>
      <c r="R200" s="2333"/>
      <c r="S200" s="2333"/>
      <c r="T200" s="2333"/>
      <c r="U200" s="2333"/>
      <c r="V200" s="2333"/>
      <c r="W200" s="2333"/>
      <c r="X200" s="2334">
        <v>0.03</v>
      </c>
      <c r="Y200" s="2334"/>
      <c r="Z200" s="2334"/>
      <c r="AA200" s="2334"/>
      <c r="AB200" s="2334"/>
      <c r="AC200" s="2334"/>
      <c r="AD200" s="2334"/>
      <c r="AE200" s="2334"/>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601" t="s">
        <v>2596</v>
      </c>
      <c r="D201" s="2601"/>
      <c r="E201" s="2601"/>
      <c r="F201" s="2601"/>
      <c r="G201" s="2601"/>
      <c r="H201" s="2601"/>
      <c r="I201" s="2601"/>
      <c r="J201" s="2601"/>
      <c r="K201" s="2601"/>
      <c r="L201" s="2601"/>
      <c r="M201" s="2601"/>
      <c r="N201" s="2601"/>
      <c r="O201" s="2605">
        <f>SUM(O199:W200)</f>
        <v>0</v>
      </c>
      <c r="P201" s="2606"/>
      <c r="Q201" s="2606"/>
      <c r="R201" s="2606"/>
      <c r="S201" s="2606"/>
      <c r="T201" s="2606"/>
      <c r="U201" s="2606"/>
      <c r="V201" s="2606"/>
      <c r="W201" s="2606"/>
      <c r="X201" s="2606" t="s">
        <v>2595</v>
      </c>
      <c r="Y201" s="2606"/>
      <c r="Z201" s="2606"/>
      <c r="AA201" s="2606"/>
      <c r="AB201" s="2606"/>
      <c r="AC201" s="2606"/>
      <c r="AD201" s="2606"/>
      <c r="AE201" s="2606"/>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602" t="s">
        <v>2594</v>
      </c>
      <c r="D202" s="2602"/>
      <c r="E202" s="2602"/>
      <c r="F202" s="2602"/>
      <c r="G202" s="2602"/>
      <c r="H202" s="2602"/>
      <c r="I202" s="2602"/>
      <c r="J202" s="2602"/>
      <c r="K202" s="2602"/>
      <c r="L202" s="2602"/>
      <c r="M202" s="2602"/>
      <c r="N202" s="2602"/>
      <c r="O202" s="2602"/>
      <c r="P202" s="2602"/>
      <c r="Q202" s="2602"/>
      <c r="R202" s="2602"/>
      <c r="S202" s="2602"/>
      <c r="T202" s="2602"/>
      <c r="U202" s="2602"/>
      <c r="V202" s="2602"/>
      <c r="W202" s="2602"/>
      <c r="X202" s="2602"/>
      <c r="Y202" s="2602"/>
      <c r="Z202" s="2602"/>
      <c r="AA202" s="2602"/>
      <c r="AB202" s="2602"/>
      <c r="AC202" s="2602"/>
      <c r="AD202" s="2602"/>
      <c r="AE202" s="2602"/>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312" t="s">
        <v>2593</v>
      </c>
      <c r="D204" s="2313"/>
      <c r="E204" s="2313"/>
      <c r="F204" s="2313"/>
      <c r="G204" s="2313"/>
      <c r="H204" s="2313"/>
      <c r="I204" s="2313"/>
      <c r="J204" s="2313"/>
      <c r="K204" s="2313"/>
      <c r="L204" s="2313"/>
      <c r="M204" s="2313"/>
      <c r="N204" s="2313"/>
      <c r="O204" s="2313"/>
      <c r="P204" s="2313"/>
      <c r="Q204" s="2313"/>
      <c r="R204" s="2313"/>
      <c r="S204" s="2313"/>
      <c r="T204" s="2313"/>
      <c r="U204" s="2313"/>
      <c r="V204" s="2313"/>
      <c r="W204" s="2313"/>
      <c r="X204" s="2313"/>
      <c r="Y204" s="2313"/>
      <c r="Z204" s="2313"/>
      <c r="AA204" s="2313"/>
      <c r="AB204" s="2313"/>
      <c r="AC204" s="2313"/>
      <c r="AD204" s="2313"/>
      <c r="AE204" s="2313"/>
      <c r="AF204" s="2313"/>
      <c r="AG204" s="2313"/>
      <c r="AH204" s="2313"/>
      <c r="AI204" s="2313"/>
      <c r="AJ204" s="2313"/>
      <c r="AK204" s="2314"/>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315" t="s">
        <v>2592</v>
      </c>
      <c r="D205" s="2273"/>
      <c r="E205" s="2273"/>
      <c r="F205" s="2316"/>
      <c r="G205" s="2272" t="s">
        <v>2591</v>
      </c>
      <c r="H205" s="2273"/>
      <c r="I205" s="2273"/>
      <c r="J205" s="2273"/>
      <c r="K205" s="2273"/>
      <c r="L205" s="2273"/>
      <c r="M205" s="2273"/>
      <c r="N205" s="2273"/>
      <c r="O205" s="2316"/>
      <c r="P205" s="2319" t="s">
        <v>2590</v>
      </c>
      <c r="Q205" s="2320"/>
      <c r="R205" s="2320"/>
      <c r="S205" s="2320"/>
      <c r="T205" s="2321"/>
      <c r="U205" s="2266" t="s">
        <v>2589</v>
      </c>
      <c r="V205" s="2267"/>
      <c r="W205" s="2267"/>
      <c r="X205" s="2268"/>
      <c r="Y205" s="2266" t="s">
        <v>2588</v>
      </c>
      <c r="Z205" s="2267"/>
      <c r="AA205" s="2267"/>
      <c r="AB205" s="2268"/>
      <c r="AC205" s="2266" t="s">
        <v>2587</v>
      </c>
      <c r="AD205" s="2267"/>
      <c r="AE205" s="2267"/>
      <c r="AF205" s="2268"/>
      <c r="AG205" s="2272" t="s">
        <v>2586</v>
      </c>
      <c r="AH205" s="2273"/>
      <c r="AI205" s="2273"/>
      <c r="AJ205" s="2273"/>
      <c r="AK205" s="2274"/>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17"/>
      <c r="D206" s="2276"/>
      <c r="E206" s="2276"/>
      <c r="F206" s="2318"/>
      <c r="G206" s="2275"/>
      <c r="H206" s="2276"/>
      <c r="I206" s="2276"/>
      <c r="J206" s="2276"/>
      <c r="K206" s="2276"/>
      <c r="L206" s="2276"/>
      <c r="M206" s="2276"/>
      <c r="N206" s="2276"/>
      <c r="O206" s="2318"/>
      <c r="P206" s="2322"/>
      <c r="Q206" s="2323"/>
      <c r="R206" s="2323"/>
      <c r="S206" s="2323"/>
      <c r="T206" s="2324"/>
      <c r="U206" s="2269"/>
      <c r="V206" s="2270"/>
      <c r="W206" s="2270"/>
      <c r="X206" s="2271"/>
      <c r="Y206" s="2269"/>
      <c r="Z206" s="2270"/>
      <c r="AA206" s="2270"/>
      <c r="AB206" s="2271"/>
      <c r="AC206" s="2269"/>
      <c r="AD206" s="2270"/>
      <c r="AE206" s="2270"/>
      <c r="AF206" s="2271"/>
      <c r="AG206" s="2275"/>
      <c r="AH206" s="2276"/>
      <c r="AI206" s="2276"/>
      <c r="AJ206" s="2276"/>
      <c r="AK206" s="2277"/>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78">
        <v>1</v>
      </c>
      <c r="D207" s="2279"/>
      <c r="E207" s="2279"/>
      <c r="F207" s="2279"/>
      <c r="G207" s="2280" t="s">
        <v>2154</v>
      </c>
      <c r="H207" s="2280"/>
      <c r="I207" s="2280"/>
      <c r="J207" s="2280"/>
      <c r="K207" s="2280"/>
      <c r="L207" s="2280"/>
      <c r="M207" s="2280"/>
      <c r="N207" s="2280"/>
      <c r="O207" s="2280"/>
      <c r="P207" s="2281"/>
      <c r="Q207" s="2282"/>
      <c r="R207" s="2282"/>
      <c r="S207" s="2282"/>
      <c r="T207" s="2282"/>
      <c r="U207" s="2283" t="s">
        <v>2154</v>
      </c>
      <c r="V207" s="2283"/>
      <c r="W207" s="2283"/>
      <c r="X207" s="2283"/>
      <c r="Y207" s="2283" t="s">
        <v>2154</v>
      </c>
      <c r="Z207" s="2283"/>
      <c r="AA207" s="2283"/>
      <c r="AB207" s="2283"/>
      <c r="AC207" s="2284" t="s">
        <v>2154</v>
      </c>
      <c r="AD207" s="2284"/>
      <c r="AE207" s="2284"/>
      <c r="AF207" s="2284"/>
      <c r="AG207" s="2263"/>
      <c r="AH207" s="2264"/>
      <c r="AI207" s="2264"/>
      <c r="AJ207" s="2264"/>
      <c r="AK207" s="2265"/>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78">
        <v>2</v>
      </c>
      <c r="D208" s="2279"/>
      <c r="E208" s="2279"/>
      <c r="F208" s="2279"/>
      <c r="G208" s="2280" t="s">
        <v>2154</v>
      </c>
      <c r="H208" s="2280"/>
      <c r="I208" s="2280"/>
      <c r="J208" s="2280"/>
      <c r="K208" s="2280"/>
      <c r="L208" s="2280"/>
      <c r="M208" s="2280"/>
      <c r="N208" s="2280"/>
      <c r="O208" s="2280"/>
      <c r="P208" s="2281"/>
      <c r="Q208" s="2281"/>
      <c r="R208" s="2281"/>
      <c r="S208" s="2281"/>
      <c r="T208" s="2281"/>
      <c r="U208" s="2283" t="s">
        <v>2154</v>
      </c>
      <c r="V208" s="2283"/>
      <c r="W208" s="2283"/>
      <c r="X208" s="2283"/>
      <c r="Y208" s="2283" t="s">
        <v>2154</v>
      </c>
      <c r="Z208" s="2283"/>
      <c r="AA208" s="2283"/>
      <c r="AB208" s="2283"/>
      <c r="AC208" s="2284" t="s">
        <v>2154</v>
      </c>
      <c r="AD208" s="2284"/>
      <c r="AE208" s="2284"/>
      <c r="AF208" s="2284"/>
      <c r="AG208" s="2263"/>
      <c r="AH208" s="2264"/>
      <c r="AI208" s="2264"/>
      <c r="AJ208" s="2264"/>
      <c r="AK208" s="2265"/>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78">
        <v>3</v>
      </c>
      <c r="D209" s="2279"/>
      <c r="E209" s="2279"/>
      <c r="F209" s="2279"/>
      <c r="G209" s="2280" t="s">
        <v>2154</v>
      </c>
      <c r="H209" s="2280"/>
      <c r="I209" s="2280"/>
      <c r="J209" s="2280"/>
      <c r="K209" s="2280"/>
      <c r="L209" s="2280"/>
      <c r="M209" s="2280"/>
      <c r="N209" s="2280"/>
      <c r="O209" s="2280"/>
      <c r="P209" s="2281"/>
      <c r="Q209" s="2281"/>
      <c r="R209" s="2281"/>
      <c r="S209" s="2281"/>
      <c r="T209" s="2281"/>
      <c r="U209" s="2283" t="s">
        <v>2154</v>
      </c>
      <c r="V209" s="2283"/>
      <c r="W209" s="2283"/>
      <c r="X209" s="2283"/>
      <c r="Y209" s="2283" t="s">
        <v>2154</v>
      </c>
      <c r="Z209" s="2283"/>
      <c r="AA209" s="2283"/>
      <c r="AB209" s="2283"/>
      <c r="AC209" s="2284" t="s">
        <v>2154</v>
      </c>
      <c r="AD209" s="2284"/>
      <c r="AE209" s="2284"/>
      <c r="AF209" s="2284"/>
      <c r="AG209" s="2263"/>
      <c r="AH209" s="2264"/>
      <c r="AI209" s="2264"/>
      <c r="AJ209" s="2264"/>
      <c r="AK209" s="2265"/>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78">
        <v>4</v>
      </c>
      <c r="D210" s="2279"/>
      <c r="E210" s="2279"/>
      <c r="F210" s="2279"/>
      <c r="G210" s="2280" t="s">
        <v>2154</v>
      </c>
      <c r="H210" s="2280"/>
      <c r="I210" s="2280"/>
      <c r="J210" s="2280"/>
      <c r="K210" s="2280"/>
      <c r="L210" s="2280"/>
      <c r="M210" s="2280"/>
      <c r="N210" s="2280"/>
      <c r="O210" s="2280"/>
      <c r="P210" s="2281"/>
      <c r="Q210" s="2281"/>
      <c r="R210" s="2281"/>
      <c r="S210" s="2281"/>
      <c r="T210" s="2281"/>
      <c r="U210" s="2283" t="s">
        <v>2154</v>
      </c>
      <c r="V210" s="2283"/>
      <c r="W210" s="2283"/>
      <c r="X210" s="2283"/>
      <c r="Y210" s="2283" t="s">
        <v>2154</v>
      </c>
      <c r="Z210" s="2283"/>
      <c r="AA210" s="2283"/>
      <c r="AB210" s="2283"/>
      <c r="AC210" s="2284" t="s">
        <v>2154</v>
      </c>
      <c r="AD210" s="2284"/>
      <c r="AE210" s="2284"/>
      <c r="AF210" s="2284"/>
      <c r="AG210" s="2263"/>
      <c r="AH210" s="2264"/>
      <c r="AI210" s="2264"/>
      <c r="AJ210" s="2264"/>
      <c r="AK210" s="2265"/>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78">
        <v>5</v>
      </c>
      <c r="D211" s="2279"/>
      <c r="E211" s="2279"/>
      <c r="F211" s="2279"/>
      <c r="G211" s="2280"/>
      <c r="H211" s="2280"/>
      <c r="I211" s="2280"/>
      <c r="J211" s="2280"/>
      <c r="K211" s="2280"/>
      <c r="L211" s="2280"/>
      <c r="M211" s="2280"/>
      <c r="N211" s="2280"/>
      <c r="O211" s="2280"/>
      <c r="P211" s="2281"/>
      <c r="Q211" s="2281"/>
      <c r="R211" s="2281"/>
      <c r="S211" s="2281"/>
      <c r="T211" s="2281"/>
      <c r="U211" s="2283" t="s">
        <v>2154</v>
      </c>
      <c r="V211" s="2283"/>
      <c r="W211" s="2283"/>
      <c r="X211" s="2283"/>
      <c r="Y211" s="2283" t="s">
        <v>2154</v>
      </c>
      <c r="Z211" s="2283"/>
      <c r="AA211" s="2283"/>
      <c r="AB211" s="2283"/>
      <c r="AC211" s="2284" t="s">
        <v>2154</v>
      </c>
      <c r="AD211" s="2284"/>
      <c r="AE211" s="2284"/>
      <c r="AF211" s="2284"/>
      <c r="AG211" s="2263"/>
      <c r="AH211" s="2264"/>
      <c r="AI211" s="2264"/>
      <c r="AJ211" s="2264"/>
      <c r="AK211" s="2265"/>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78">
        <v>6</v>
      </c>
      <c r="D212" s="2279"/>
      <c r="E212" s="2279"/>
      <c r="F212" s="2279"/>
      <c r="G212" s="2280" t="s">
        <v>2154</v>
      </c>
      <c r="H212" s="2280"/>
      <c r="I212" s="2280"/>
      <c r="J212" s="2280"/>
      <c r="K212" s="2280"/>
      <c r="L212" s="2280"/>
      <c r="M212" s="2280"/>
      <c r="N212" s="2280"/>
      <c r="O212" s="2280"/>
      <c r="P212" s="2281"/>
      <c r="Q212" s="2281"/>
      <c r="R212" s="2281"/>
      <c r="S212" s="2281"/>
      <c r="T212" s="2281"/>
      <c r="U212" s="2283"/>
      <c r="V212" s="2283"/>
      <c r="W212" s="2283"/>
      <c r="X212" s="2283"/>
      <c r="Y212" s="2283"/>
      <c r="Z212" s="2283"/>
      <c r="AA212" s="2283"/>
      <c r="AB212" s="2283"/>
      <c r="AC212" s="2284" t="s">
        <v>2154</v>
      </c>
      <c r="AD212" s="2284"/>
      <c r="AE212" s="2284"/>
      <c r="AF212" s="2284"/>
      <c r="AG212" s="2263"/>
      <c r="AH212" s="2264"/>
      <c r="AI212" s="2264"/>
      <c r="AJ212" s="2264"/>
      <c r="AK212" s="2265"/>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78">
        <v>7</v>
      </c>
      <c r="D213" s="2279"/>
      <c r="E213" s="2279"/>
      <c r="F213" s="2279"/>
      <c r="G213" s="2614"/>
      <c r="H213" s="2615"/>
      <c r="I213" s="2615"/>
      <c r="J213" s="2615"/>
      <c r="K213" s="2615"/>
      <c r="L213" s="2615"/>
      <c r="M213" s="2615"/>
      <c r="N213" s="2615"/>
      <c r="O213" s="2616"/>
      <c r="P213" s="2281"/>
      <c r="Q213" s="2281"/>
      <c r="R213" s="2281"/>
      <c r="S213" s="2281"/>
      <c r="T213" s="2281"/>
      <c r="U213" s="2283"/>
      <c r="V213" s="2283"/>
      <c r="W213" s="2283"/>
      <c r="X213" s="2283"/>
      <c r="Y213" s="2283"/>
      <c r="Z213" s="2283"/>
      <c r="AA213" s="2283"/>
      <c r="AB213" s="2283"/>
      <c r="AC213" s="2284" t="s">
        <v>2154</v>
      </c>
      <c r="AD213" s="2284"/>
      <c r="AE213" s="2284"/>
      <c r="AF213" s="2284"/>
      <c r="AG213" s="2263"/>
      <c r="AH213" s="2264"/>
      <c r="AI213" s="2264"/>
      <c r="AJ213" s="2264"/>
      <c r="AK213" s="2265"/>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17" t="s">
        <v>2585</v>
      </c>
      <c r="D214" s="2618"/>
      <c r="E214" s="2618"/>
      <c r="F214" s="2618"/>
      <c r="G214" s="2618"/>
      <c r="H214" s="2618"/>
      <c r="I214" s="2618"/>
      <c r="J214" s="2618"/>
      <c r="K214" s="2618"/>
      <c r="L214" s="2618"/>
      <c r="M214" s="2618"/>
      <c r="N214" s="2618"/>
      <c r="O214" s="2618"/>
      <c r="P214" s="2619"/>
      <c r="Q214" s="2619"/>
      <c r="R214" s="2619"/>
      <c r="S214" s="2619"/>
      <c r="T214" s="2619"/>
      <c r="U214" s="2620">
        <v>0</v>
      </c>
      <c r="V214" s="2620"/>
      <c r="W214" s="2620"/>
      <c r="X214" s="2620"/>
      <c r="Y214" s="2620">
        <v>0</v>
      </c>
      <c r="Z214" s="2620"/>
      <c r="AA214" s="2620"/>
      <c r="AB214" s="2620"/>
      <c r="AC214" s="2621">
        <v>0</v>
      </c>
      <c r="AD214" s="2621"/>
      <c r="AE214" s="2621"/>
      <c r="AF214" s="2621"/>
      <c r="AG214" s="2260"/>
      <c r="AH214" s="2261"/>
      <c r="AI214" s="2261"/>
      <c r="AJ214" s="2261"/>
      <c r="AK214" s="2262"/>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2584</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88" t="s">
        <v>1854</v>
      </c>
      <c r="C219" s="2289"/>
      <c r="D219" s="2289"/>
      <c r="E219" s="2289"/>
      <c r="F219" s="2289"/>
      <c r="G219" s="2289"/>
      <c r="H219" s="2289"/>
      <c r="I219" s="2289"/>
      <c r="J219" s="2289"/>
      <c r="K219" s="2289"/>
      <c r="L219" s="2289"/>
      <c r="M219" s="2289"/>
      <c r="N219" s="2289"/>
      <c r="O219" s="2289"/>
      <c r="P219" s="2289"/>
      <c r="Q219" s="2289"/>
      <c r="R219" s="2289"/>
      <c r="S219" s="2289"/>
      <c r="T219" s="2289"/>
      <c r="U219" s="2289"/>
      <c r="V219" s="2289"/>
      <c r="W219" s="2289"/>
      <c r="X219" s="2289"/>
      <c r="Y219" s="2289"/>
      <c r="Z219" s="2289"/>
      <c r="AA219" s="2289"/>
      <c r="AB219" s="2289"/>
      <c r="AC219" s="2289"/>
      <c r="AD219" s="2289"/>
      <c r="AE219" s="2289"/>
      <c r="AF219" s="2289"/>
      <c r="AG219" s="2289"/>
      <c r="AH219" s="2289"/>
      <c r="AI219" s="2289"/>
      <c r="AJ219" s="2289"/>
      <c r="AK219" s="2289"/>
      <c r="AL219" s="2289"/>
      <c r="AM219" s="2289"/>
      <c r="AN219" s="2289"/>
      <c r="AO219" s="2289"/>
      <c r="AP219" s="2289"/>
      <c r="AQ219" s="2289"/>
      <c r="AR219" s="2289"/>
      <c r="AS219" s="2289"/>
      <c r="AT219" s="2289"/>
      <c r="AU219" s="2289"/>
      <c r="AV219" s="2289"/>
      <c r="AW219" s="2289"/>
      <c r="AX219" s="2289"/>
      <c r="AY219" s="2289"/>
      <c r="AZ219" s="2289"/>
      <c r="BA219" s="2289"/>
      <c r="BB219" s="2289"/>
      <c r="BC219" s="2289"/>
      <c r="BD219" s="2290"/>
      <c r="BE219" s="1202"/>
    </row>
    <row r="220" spans="1:57" ht="15.75" customHeight="1">
      <c r="A220" s="1206"/>
      <c r="B220" s="2291"/>
      <c r="C220" s="2292"/>
      <c r="D220" s="2292"/>
      <c r="E220" s="2292"/>
      <c r="F220" s="2292"/>
      <c r="G220" s="2292"/>
      <c r="H220" s="2292"/>
      <c r="I220" s="2292"/>
      <c r="J220" s="2292"/>
      <c r="K220" s="2292"/>
      <c r="L220" s="2292"/>
      <c r="M220" s="2292"/>
      <c r="N220" s="2292"/>
      <c r="O220" s="2292"/>
      <c r="P220" s="2292"/>
      <c r="Q220" s="2292"/>
      <c r="R220" s="2292"/>
      <c r="S220" s="2292"/>
      <c r="T220" s="2292"/>
      <c r="U220" s="2292"/>
      <c r="V220" s="2292"/>
      <c r="W220" s="2292"/>
      <c r="X220" s="2292"/>
      <c r="Y220" s="2292"/>
      <c r="Z220" s="2292"/>
      <c r="AA220" s="2292"/>
      <c r="AB220" s="2292"/>
      <c r="AC220" s="2292"/>
      <c r="AD220" s="2292"/>
      <c r="AE220" s="2292"/>
      <c r="AF220" s="2292"/>
      <c r="AG220" s="2292"/>
      <c r="AH220" s="2292"/>
      <c r="AI220" s="2292"/>
      <c r="AJ220" s="2292"/>
      <c r="AK220" s="2292"/>
      <c r="AL220" s="2292"/>
      <c r="AM220" s="2292"/>
      <c r="AN220" s="2292"/>
      <c r="AO220" s="2292"/>
      <c r="AP220" s="2292"/>
      <c r="AQ220" s="2292"/>
      <c r="AR220" s="2292"/>
      <c r="AS220" s="2292"/>
      <c r="AT220" s="2292"/>
      <c r="AU220" s="2292"/>
      <c r="AV220" s="2292"/>
      <c r="AW220" s="2292"/>
      <c r="AX220" s="2292"/>
      <c r="AY220" s="2292"/>
      <c r="AZ220" s="2292"/>
      <c r="BA220" s="2292"/>
      <c r="BB220" s="2292"/>
      <c r="BC220" s="2292"/>
      <c r="BD220" s="2293"/>
      <c r="BE220" s="1202"/>
    </row>
    <row r="221" spans="1:57" ht="15.75" customHeight="1">
      <c r="A221" s="1206"/>
      <c r="B221" s="2294" t="s">
        <v>1855</v>
      </c>
      <c r="C221" s="2295"/>
      <c r="D221" s="2295"/>
      <c r="E221" s="2295"/>
      <c r="F221" s="2295"/>
      <c r="G221" s="2295"/>
      <c r="H221" s="2295"/>
      <c r="I221" s="2295"/>
      <c r="J221" s="2295"/>
      <c r="K221" s="2295"/>
      <c r="L221" s="2295"/>
      <c r="M221" s="2295"/>
      <c r="N221" s="2295"/>
      <c r="O221" s="2295"/>
      <c r="P221" s="2295"/>
      <c r="Q221" s="2295"/>
      <c r="R221" s="2295"/>
      <c r="S221" s="2295"/>
      <c r="T221" s="2295"/>
      <c r="U221" s="2295"/>
      <c r="V221" s="2295"/>
      <c r="W221" s="2295"/>
      <c r="X221" s="2295"/>
      <c r="Y221" s="2295"/>
      <c r="Z221" s="2295"/>
      <c r="AA221" s="2295"/>
      <c r="AB221" s="2295"/>
      <c r="AC221" s="2295"/>
      <c r="AD221" s="2295"/>
      <c r="AE221" s="2295"/>
      <c r="AF221" s="2295"/>
      <c r="AG221" s="2295"/>
      <c r="AH221" s="2295"/>
      <c r="AI221" s="2295"/>
      <c r="AJ221" s="2295"/>
      <c r="AK221" s="2295"/>
      <c r="AL221" s="2295"/>
      <c r="AM221" s="2295"/>
      <c r="AN221" s="2295"/>
      <c r="AO221" s="2295"/>
      <c r="AP221" s="2295"/>
      <c r="AQ221" s="2295"/>
      <c r="AR221" s="2295"/>
      <c r="AS221" s="2295"/>
      <c r="AT221" s="2295"/>
      <c r="AU221" s="2295"/>
      <c r="AV221" s="2295"/>
      <c r="AW221" s="2295"/>
      <c r="AX221" s="2295"/>
      <c r="AY221" s="2295"/>
      <c r="AZ221" s="2295"/>
      <c r="BA221" s="2295"/>
      <c r="BB221" s="2295"/>
      <c r="BC221" s="2295"/>
      <c r="BD221" s="2296"/>
      <c r="BE221" s="1202"/>
    </row>
    <row r="222" spans="1:57" ht="15.75" customHeight="1">
      <c r="A222" s="1206"/>
      <c r="B222" s="2294" t="s">
        <v>1856</v>
      </c>
      <c r="C222" s="2295"/>
      <c r="D222" s="2295"/>
      <c r="E222" s="2295"/>
      <c r="F222" s="2295"/>
      <c r="G222" s="2295"/>
      <c r="H222" s="2295"/>
      <c r="I222" s="2295"/>
      <c r="J222" s="2295"/>
      <c r="K222" s="2295"/>
      <c r="L222" s="2295"/>
      <c r="M222" s="2295"/>
      <c r="N222" s="2295"/>
      <c r="O222" s="2295"/>
      <c r="P222" s="2295"/>
      <c r="Q222" s="2295"/>
      <c r="R222" s="2295"/>
      <c r="S222" s="2295"/>
      <c r="T222" s="2295"/>
      <c r="U222" s="2295"/>
      <c r="V222" s="2295"/>
      <c r="W222" s="2295"/>
      <c r="X222" s="2295"/>
      <c r="Y222" s="2295"/>
      <c r="Z222" s="2295"/>
      <c r="AA222" s="2295"/>
      <c r="AB222" s="2295"/>
      <c r="AC222" s="2295"/>
      <c r="AD222" s="2295"/>
      <c r="AE222" s="2295"/>
      <c r="AF222" s="2295"/>
      <c r="AG222" s="2295"/>
      <c r="AH222" s="2295"/>
      <c r="AI222" s="2295"/>
      <c r="AJ222" s="2295"/>
      <c r="AK222" s="2295"/>
      <c r="AL222" s="2295"/>
      <c r="AM222" s="2295"/>
      <c r="AN222" s="2295"/>
      <c r="AO222" s="2295"/>
      <c r="AP222" s="2295"/>
      <c r="AQ222" s="2295"/>
      <c r="AR222" s="2295"/>
      <c r="AS222" s="2295"/>
      <c r="AT222" s="2295"/>
      <c r="AU222" s="2295"/>
      <c r="AV222" s="2295"/>
      <c r="AW222" s="2295"/>
      <c r="AX222" s="2295"/>
      <c r="AY222" s="2295"/>
      <c r="AZ222" s="2295"/>
      <c r="BA222" s="2295"/>
      <c r="BB222" s="2295"/>
      <c r="BC222" s="2295"/>
      <c r="BD222" s="2296"/>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97" t="s">
        <v>1857</v>
      </c>
      <c r="C224" s="2298"/>
      <c r="D224" s="2298"/>
      <c r="E224" s="2298"/>
      <c r="F224" s="2298"/>
      <c r="G224" s="2298"/>
      <c r="H224" s="2298"/>
      <c r="I224" s="2298"/>
      <c r="J224" s="2298"/>
      <c r="K224" s="2298"/>
      <c r="L224" s="2298"/>
      <c r="M224" s="2298"/>
      <c r="N224" s="2298"/>
      <c r="O224" s="2298"/>
      <c r="P224" s="2298"/>
      <c r="Q224" s="2298"/>
      <c r="R224" s="2298"/>
      <c r="S224" s="2298"/>
      <c r="T224" s="2298"/>
      <c r="U224" s="2298"/>
      <c r="V224" s="2298"/>
      <c r="W224" s="2298"/>
      <c r="X224" s="2298"/>
      <c r="Y224" s="2298"/>
      <c r="Z224" s="2298"/>
      <c r="AA224" s="2298"/>
      <c r="AB224" s="2298"/>
      <c r="AC224" s="2298"/>
      <c r="AD224" s="2298"/>
      <c r="AE224" s="2298"/>
      <c r="AF224" s="2298"/>
      <c r="AG224" s="2298"/>
      <c r="AH224" s="2298"/>
      <c r="AI224" s="2298"/>
      <c r="AJ224" s="2298"/>
      <c r="AK224" s="2298"/>
      <c r="AL224" s="2298"/>
      <c r="AM224" s="2298"/>
      <c r="AN224" s="2298"/>
      <c r="AO224" s="2298"/>
      <c r="AP224" s="2298"/>
      <c r="AQ224" s="2298"/>
      <c r="AR224" s="2298"/>
      <c r="AS224" s="2298"/>
      <c r="AT224" s="2298"/>
      <c r="AU224" s="2298"/>
      <c r="AV224" s="2298"/>
      <c r="AW224" s="2298"/>
      <c r="AX224" s="2298"/>
      <c r="AY224" s="2298"/>
      <c r="AZ224" s="2298"/>
      <c r="BA224" s="2298"/>
      <c r="BB224" s="2298"/>
      <c r="BC224" s="2298"/>
      <c r="BD224" s="2299"/>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1858</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311" t="s">
        <v>1859</v>
      </c>
      <c r="I228" s="2311"/>
      <c r="J228" s="2311"/>
      <c r="K228" s="2311"/>
      <c r="L228" s="2311"/>
      <c r="M228" s="2311"/>
      <c r="N228" s="2311"/>
      <c r="O228" s="2311"/>
      <c r="P228" s="2311"/>
      <c r="Q228" s="2311"/>
      <c r="R228" s="2311"/>
      <c r="S228" s="2311"/>
      <c r="T228" s="2311"/>
      <c r="U228" s="2311"/>
      <c r="V228" s="2311"/>
      <c r="W228" s="2311"/>
      <c r="X228" s="2311"/>
      <c r="Y228" s="2311"/>
      <c r="Z228" s="2311"/>
      <c r="AA228" s="2311"/>
      <c r="AB228" s="2311"/>
      <c r="AC228" s="2311"/>
      <c r="AD228" s="2311"/>
      <c r="AE228" s="2311"/>
      <c r="AF228" s="2311"/>
      <c r="AG228" s="2311"/>
      <c r="AH228" s="2311"/>
      <c r="AI228" s="2311"/>
      <c r="AJ228" s="2311"/>
      <c r="AK228" s="2311"/>
      <c r="AL228" s="2311"/>
      <c r="AM228" s="2311"/>
      <c r="AN228" s="2311"/>
      <c r="AO228" s="2311"/>
      <c r="AP228" s="2311"/>
      <c r="AQ228" s="2311"/>
      <c r="AR228" s="2311"/>
      <c r="AS228" s="2311"/>
      <c r="AT228" s="2311"/>
      <c r="AU228" s="2311"/>
      <c r="AV228" s="2311"/>
      <c r="AW228" s="2311"/>
      <c r="AX228" s="2311"/>
      <c r="AY228" s="2311"/>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310" t="s">
        <v>2498</v>
      </c>
      <c r="I230" s="2310"/>
      <c r="J230" s="2310"/>
      <c r="K230" s="2310"/>
      <c r="L230" s="2310"/>
      <c r="M230" s="2310"/>
      <c r="N230" s="2310"/>
      <c r="O230" s="2310"/>
      <c r="P230" s="2310"/>
      <c r="Q230" s="2310"/>
      <c r="R230" s="2310"/>
      <c r="S230" s="2310"/>
      <c r="T230" s="2310"/>
      <c r="U230" s="2310"/>
      <c r="V230" s="2310"/>
      <c r="W230" s="2310"/>
      <c r="X230" s="2310"/>
      <c r="Y230" s="2310"/>
      <c r="Z230" s="2310"/>
      <c r="AA230" s="2310"/>
      <c r="AB230" s="2310"/>
      <c r="AC230" s="2310"/>
      <c r="AD230" s="2310"/>
      <c r="AE230" s="2310"/>
      <c r="AF230" s="2310"/>
      <c r="AG230" s="2310"/>
      <c r="AH230" s="2310"/>
      <c r="AI230" s="2310"/>
      <c r="AJ230" s="2310"/>
      <c r="AK230" s="2310"/>
      <c r="AL230" s="2310"/>
      <c r="AM230" s="2310"/>
      <c r="AN230" s="2310"/>
      <c r="AO230" s="2310"/>
      <c r="AP230" s="2310"/>
      <c r="AQ230" s="2310"/>
      <c r="AR230" s="2310"/>
      <c r="AS230" s="2310"/>
      <c r="AT230" s="2310"/>
      <c r="AU230" s="2310"/>
      <c r="AV230" s="2310"/>
      <c r="AW230" s="2310"/>
      <c r="AX230" s="2310"/>
      <c r="AY230" s="2310"/>
      <c r="AZ230" s="2310"/>
      <c r="BA230" s="1206"/>
      <c r="BB230" s="1206"/>
      <c r="BC230" s="1206"/>
      <c r="BD230" s="1202"/>
      <c r="BE230" s="1202"/>
    </row>
    <row r="231" spans="1:57" ht="15.75" customHeight="1">
      <c r="A231" s="1206"/>
      <c r="B231" s="1212"/>
      <c r="C231" s="1206"/>
      <c r="D231" s="1206"/>
      <c r="E231" s="1206"/>
      <c r="F231" s="1206"/>
      <c r="G231" s="1206"/>
      <c r="H231" s="2310"/>
      <c r="I231" s="2310"/>
      <c r="J231" s="2310"/>
      <c r="K231" s="2310"/>
      <c r="L231" s="2310"/>
      <c r="M231" s="2310"/>
      <c r="N231" s="2310"/>
      <c r="O231" s="2310"/>
      <c r="P231" s="2310"/>
      <c r="Q231" s="2310"/>
      <c r="R231" s="2310"/>
      <c r="S231" s="2310"/>
      <c r="T231" s="2310"/>
      <c r="U231" s="2310"/>
      <c r="V231" s="2310"/>
      <c r="W231" s="2310"/>
      <c r="X231" s="2310"/>
      <c r="Y231" s="2310"/>
      <c r="Z231" s="2310"/>
      <c r="AA231" s="2310"/>
      <c r="AB231" s="2310"/>
      <c r="AC231" s="2310"/>
      <c r="AD231" s="2310"/>
      <c r="AE231" s="2310"/>
      <c r="AF231" s="2310"/>
      <c r="AG231" s="2310"/>
      <c r="AH231" s="2310"/>
      <c r="AI231" s="2310"/>
      <c r="AJ231" s="2310"/>
      <c r="AK231" s="2310"/>
      <c r="AL231" s="2310"/>
      <c r="AM231" s="2310"/>
      <c r="AN231" s="2310"/>
      <c r="AO231" s="2310"/>
      <c r="AP231" s="2310"/>
      <c r="AQ231" s="2310"/>
      <c r="AR231" s="2310"/>
      <c r="AS231" s="2310"/>
      <c r="AT231" s="2310"/>
      <c r="AU231" s="2310"/>
      <c r="AV231" s="2310"/>
      <c r="AW231" s="2310"/>
      <c r="AX231" s="2310"/>
      <c r="AY231" s="2310"/>
      <c r="AZ231" s="2310"/>
      <c r="BA231" s="1206"/>
      <c r="BB231" s="1206"/>
      <c r="BC231" s="1206"/>
      <c r="BD231" s="1202"/>
      <c r="BE231" s="1202"/>
    </row>
    <row r="232" spans="1:57" ht="15.75" customHeight="1">
      <c r="A232" s="1206"/>
      <c r="B232" s="1212"/>
      <c r="C232" s="1206"/>
      <c r="D232" s="1206"/>
      <c r="E232" s="1206"/>
      <c r="F232" s="1206"/>
      <c r="G232" s="1206"/>
      <c r="H232" s="2310"/>
      <c r="I232" s="2310"/>
      <c r="J232" s="2310"/>
      <c r="K232" s="2310"/>
      <c r="L232" s="2310"/>
      <c r="M232" s="2310"/>
      <c r="N232" s="2310"/>
      <c r="O232" s="2310"/>
      <c r="P232" s="2310"/>
      <c r="Q232" s="2310"/>
      <c r="R232" s="2310"/>
      <c r="S232" s="2310"/>
      <c r="T232" s="2310"/>
      <c r="U232" s="2310"/>
      <c r="V232" s="2310"/>
      <c r="W232" s="2310"/>
      <c r="X232" s="2310"/>
      <c r="Y232" s="2310"/>
      <c r="Z232" s="2310"/>
      <c r="AA232" s="2310"/>
      <c r="AB232" s="2310"/>
      <c r="AC232" s="2310"/>
      <c r="AD232" s="2310"/>
      <c r="AE232" s="2310"/>
      <c r="AF232" s="2310"/>
      <c r="AG232" s="2310"/>
      <c r="AH232" s="2310"/>
      <c r="AI232" s="2310"/>
      <c r="AJ232" s="2310"/>
      <c r="AK232" s="2310"/>
      <c r="AL232" s="2310"/>
      <c r="AM232" s="2310"/>
      <c r="AN232" s="2310"/>
      <c r="AO232" s="2310"/>
      <c r="AP232" s="2310"/>
      <c r="AQ232" s="2310"/>
      <c r="AR232" s="2310"/>
      <c r="AS232" s="2310"/>
      <c r="AT232" s="2310"/>
      <c r="AU232" s="2310"/>
      <c r="AV232" s="2310"/>
      <c r="AW232" s="2310"/>
      <c r="AX232" s="2310"/>
      <c r="AY232" s="2310"/>
      <c r="AZ232" s="2310"/>
      <c r="BA232" s="1206"/>
      <c r="BB232" s="1206"/>
      <c r="BC232" s="1206"/>
      <c r="BD232" s="1202"/>
      <c r="BE232" s="1202"/>
    </row>
    <row r="233" spans="1:57" ht="15.75" customHeight="1">
      <c r="A233" s="1206"/>
      <c r="B233" s="1212"/>
      <c r="C233" s="1206"/>
      <c r="D233" s="1206"/>
      <c r="E233" s="1206"/>
      <c r="F233" s="1206"/>
      <c r="G233" s="1206"/>
      <c r="H233" s="2310"/>
      <c r="I233" s="2310"/>
      <c r="J233" s="2310"/>
      <c r="K233" s="2310"/>
      <c r="L233" s="2310"/>
      <c r="M233" s="2310"/>
      <c r="N233" s="2310"/>
      <c r="O233" s="2310"/>
      <c r="P233" s="2310"/>
      <c r="Q233" s="2310"/>
      <c r="R233" s="2310"/>
      <c r="S233" s="2310"/>
      <c r="T233" s="2310"/>
      <c r="U233" s="2310"/>
      <c r="V233" s="2310"/>
      <c r="W233" s="2310"/>
      <c r="X233" s="2310"/>
      <c r="Y233" s="2310"/>
      <c r="Z233" s="2310"/>
      <c r="AA233" s="2310"/>
      <c r="AB233" s="2310"/>
      <c r="AC233" s="2310"/>
      <c r="AD233" s="2310"/>
      <c r="AE233" s="2310"/>
      <c r="AF233" s="2310"/>
      <c r="AG233" s="2310"/>
      <c r="AH233" s="2310"/>
      <c r="AI233" s="2310"/>
      <c r="AJ233" s="2310"/>
      <c r="AK233" s="2310"/>
      <c r="AL233" s="2310"/>
      <c r="AM233" s="2310"/>
      <c r="AN233" s="2310"/>
      <c r="AO233" s="2310"/>
      <c r="AP233" s="2310"/>
      <c r="AQ233" s="2310"/>
      <c r="AR233" s="2310"/>
      <c r="AS233" s="2310"/>
      <c r="AT233" s="2310"/>
      <c r="AU233" s="2310"/>
      <c r="AV233" s="2310"/>
      <c r="AW233" s="2310"/>
      <c r="AX233" s="2310"/>
      <c r="AY233" s="2310"/>
      <c r="AZ233" s="2310"/>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309" t="s">
        <v>1860</v>
      </c>
      <c r="I235" s="2309"/>
      <c r="J235" s="2309"/>
      <c r="K235" s="2309"/>
      <c r="L235" s="2309"/>
      <c r="M235" s="2309"/>
      <c r="N235" s="2309"/>
      <c r="O235" s="2309"/>
      <c r="P235" s="2309"/>
      <c r="Q235" s="2309"/>
      <c r="R235" s="2309"/>
      <c r="S235" s="2309"/>
      <c r="T235" s="2309"/>
      <c r="U235" s="2309"/>
      <c r="V235" s="2309"/>
      <c r="W235" s="2309"/>
      <c r="X235" s="2309"/>
      <c r="Y235" s="2309"/>
      <c r="Z235" s="2309"/>
      <c r="AA235" s="2309"/>
      <c r="AB235" s="2309"/>
      <c r="AC235" s="2309"/>
      <c r="AD235" s="2309"/>
      <c r="AE235" s="2309"/>
      <c r="AF235" s="2309"/>
      <c r="AG235" s="2309"/>
      <c r="AH235" s="2309"/>
      <c r="AI235" s="2309"/>
      <c r="AJ235" s="2309"/>
      <c r="AK235" s="2309"/>
      <c r="AL235" s="2309"/>
      <c r="AM235" s="2309"/>
      <c r="AN235" s="2309"/>
      <c r="AO235" s="2309"/>
      <c r="AP235" s="2309"/>
      <c r="AQ235" s="2309"/>
      <c r="AR235" s="2309"/>
      <c r="AS235" s="2309"/>
      <c r="AT235" s="2309"/>
      <c r="AU235" s="2309"/>
      <c r="AV235" s="2309"/>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85" t="s">
        <v>1861</v>
      </c>
      <c r="I237" s="2285"/>
      <c r="J237" s="2285"/>
      <c r="K237" s="2285"/>
      <c r="L237" s="1208"/>
      <c r="M237" s="1208"/>
      <c r="N237" s="1208"/>
      <c r="O237" s="1208"/>
      <c r="P237" s="1208"/>
      <c r="Q237" s="1208"/>
      <c r="R237" s="1208"/>
      <c r="S237" s="2306"/>
      <c r="T237" s="2307"/>
      <c r="U237" s="2307"/>
      <c r="V237" s="2307"/>
      <c r="W237" s="2307"/>
      <c r="X237" s="2307"/>
      <c r="Y237" s="2307"/>
      <c r="Z237" s="2307"/>
      <c r="AA237" s="2307"/>
      <c r="AB237" s="2307"/>
      <c r="AC237" s="2307"/>
      <c r="AD237" s="2307"/>
      <c r="AE237" s="2307"/>
      <c r="AF237" s="2307"/>
      <c r="AG237" s="2307"/>
      <c r="AH237" s="2307"/>
      <c r="AI237" s="2307"/>
      <c r="AJ237" s="2308"/>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85" t="s">
        <v>1862</v>
      </c>
      <c r="I239" s="2285"/>
      <c r="J239" s="2285"/>
      <c r="K239" s="1210"/>
      <c r="L239" s="1208"/>
      <c r="M239" s="1208"/>
      <c r="N239" s="1208"/>
      <c r="O239" s="1208"/>
      <c r="P239" s="1208"/>
      <c r="Q239" s="1208"/>
      <c r="R239" s="1208"/>
      <c r="S239" s="2303"/>
      <c r="T239" s="2304"/>
      <c r="U239" s="2304"/>
      <c r="V239" s="2304"/>
      <c r="W239" s="2304"/>
      <c r="X239" s="2304"/>
      <c r="Y239" s="2304"/>
      <c r="Z239" s="2304"/>
      <c r="AA239" s="2304"/>
      <c r="AB239" s="2304"/>
      <c r="AC239" s="2304"/>
      <c r="AD239" s="2304"/>
      <c r="AE239" s="2304"/>
      <c r="AF239" s="2304"/>
      <c r="AG239" s="2304"/>
      <c r="AH239" s="2304"/>
      <c r="AI239" s="2304"/>
      <c r="AJ239" s="2305"/>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85" t="s">
        <v>444</v>
      </c>
      <c r="I241" s="2285"/>
      <c r="J241" s="1210"/>
      <c r="K241" s="1210"/>
      <c r="L241" s="1208"/>
      <c r="M241" s="1208"/>
      <c r="N241" s="1208"/>
      <c r="O241" s="1208"/>
      <c r="P241" s="1208"/>
      <c r="Q241" s="1208"/>
      <c r="R241" s="1208"/>
      <c r="S241" s="2303"/>
      <c r="T241" s="2304"/>
      <c r="U241" s="2304"/>
      <c r="V241" s="2304"/>
      <c r="W241" s="2304"/>
      <c r="X241" s="2304"/>
      <c r="Y241" s="2304"/>
      <c r="Z241" s="2304"/>
      <c r="AA241" s="2304"/>
      <c r="AB241" s="2304"/>
      <c r="AC241" s="2304"/>
      <c r="AD241" s="2304"/>
      <c r="AE241" s="2304"/>
      <c r="AF241" s="2304"/>
      <c r="AG241" s="2304"/>
      <c r="AH241" s="2304"/>
      <c r="AI241" s="2304"/>
      <c r="AJ241" s="2305"/>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86" t="s">
        <v>1863</v>
      </c>
      <c r="I243" s="2286"/>
      <c r="J243" s="2286"/>
      <c r="K243" s="2286"/>
      <c r="L243" s="2286"/>
      <c r="M243" s="2286"/>
      <c r="N243" s="2286"/>
      <c r="O243" s="2286"/>
      <c r="P243" s="1208"/>
      <c r="Q243" s="1208"/>
      <c r="R243" s="1208"/>
      <c r="S243" s="2303"/>
      <c r="T243" s="2304"/>
      <c r="U243" s="2304"/>
      <c r="V243" s="2304"/>
      <c r="W243" s="2304"/>
      <c r="X243" s="2304"/>
      <c r="Y243" s="2304"/>
      <c r="Z243" s="2304"/>
      <c r="AA243" s="2304"/>
      <c r="AB243" s="2304"/>
      <c r="AC243" s="2304"/>
      <c r="AD243" s="2304"/>
      <c r="AE243" s="2304"/>
      <c r="AF243" s="2304"/>
      <c r="AG243" s="2304"/>
      <c r="AH243" s="2304"/>
      <c r="AI243" s="2304"/>
      <c r="AJ243" s="2305"/>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87" t="s">
        <v>1864</v>
      </c>
      <c r="I245" s="2287"/>
      <c r="J245" s="1208"/>
      <c r="K245" s="1208"/>
      <c r="L245" s="1208"/>
      <c r="M245" s="1208"/>
      <c r="N245" s="1208"/>
      <c r="O245" s="1208"/>
      <c r="P245" s="1208"/>
      <c r="Q245" s="1208"/>
      <c r="R245" s="1208"/>
      <c r="S245" s="2300"/>
      <c r="T245" s="2301"/>
      <c r="U245" s="2301"/>
      <c r="V245" s="2301"/>
      <c r="W245" s="2301"/>
      <c r="X245" s="2301"/>
      <c r="Y245" s="2301"/>
      <c r="Z245" s="2301"/>
      <c r="AA245" s="2301"/>
      <c r="AB245" s="2301"/>
      <c r="AC245" s="2301"/>
      <c r="AD245" s="2301"/>
      <c r="AE245" s="2301"/>
      <c r="AF245" s="2301"/>
      <c r="AG245" s="2301"/>
      <c r="AH245" s="2301"/>
      <c r="AI245" s="2301"/>
      <c r="AJ245" s="2302"/>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5"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3" workbookViewId="0">
      <selection activeCell="AB51" sqref="AB51"/>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53" t="s">
        <v>1390</v>
      </c>
      <c r="B1" s="2653"/>
      <c r="C1" s="2653"/>
      <c r="D1" s="2653"/>
      <c r="E1" s="2653"/>
      <c r="F1" s="2653"/>
      <c r="G1" s="2653"/>
      <c r="H1" s="2653"/>
      <c r="I1" s="2653"/>
      <c r="J1" s="2653"/>
      <c r="K1" s="2653"/>
      <c r="L1" s="2653"/>
      <c r="M1" s="2653"/>
      <c r="N1" s="2653"/>
      <c r="O1" s="2653"/>
      <c r="P1" s="2653"/>
      <c r="Q1" s="2653"/>
      <c r="R1" s="2653"/>
      <c r="S1" s="2653"/>
      <c r="T1" s="2653"/>
      <c r="U1" s="2653"/>
      <c r="V1" s="2653"/>
      <c r="W1" s="2653"/>
      <c r="X1" s="2653"/>
      <c r="Y1" s="2653"/>
      <c r="Z1" s="2653"/>
      <c r="AA1" s="2653"/>
      <c r="AB1" s="2653"/>
      <c r="AC1" s="2653"/>
      <c r="AD1" s="2653"/>
      <c r="AE1" s="2653"/>
      <c r="AF1" s="2653"/>
      <c r="AG1" s="2653"/>
      <c r="AH1" s="2653"/>
      <c r="AI1" s="2653"/>
      <c r="AJ1" s="2653"/>
      <c r="AK1" s="2653"/>
      <c r="AL1" s="2653"/>
      <c r="AM1" s="2653"/>
      <c r="AN1" s="2653"/>
    </row>
    <row r="2" spans="1:40" ht="12.95" customHeight="1" thickBot="1">
      <c r="A2" s="2654"/>
      <c r="B2" s="2654"/>
      <c r="C2" s="2654"/>
      <c r="D2" s="2654"/>
      <c r="E2" s="2654"/>
      <c r="F2" s="2654"/>
      <c r="G2" s="2654"/>
      <c r="H2" s="2654"/>
      <c r="I2" s="2654"/>
      <c r="J2" s="2654"/>
      <c r="K2" s="2654"/>
      <c r="L2" s="2654"/>
      <c r="M2" s="2654"/>
      <c r="N2" s="2654"/>
      <c r="O2" s="2654"/>
      <c r="P2" s="2654"/>
      <c r="Q2" s="2654"/>
      <c r="R2" s="2654"/>
      <c r="S2" s="2654"/>
      <c r="T2" s="2654"/>
      <c r="U2" s="2654"/>
      <c r="V2" s="2654"/>
      <c r="W2" s="2654"/>
      <c r="X2" s="2654"/>
      <c r="Y2" s="2654"/>
      <c r="Z2" s="2654"/>
      <c r="AA2" s="2654"/>
      <c r="AB2" s="2654"/>
      <c r="AC2" s="2654"/>
      <c r="AD2" s="2654"/>
      <c r="AE2" s="2654"/>
      <c r="AF2" s="2654"/>
      <c r="AG2" s="2654"/>
      <c r="AH2" s="2654"/>
      <c r="AI2" s="2654"/>
      <c r="AJ2" s="2654"/>
      <c r="AK2" s="2654"/>
      <c r="AL2" s="2654"/>
      <c r="AM2" s="2654"/>
      <c r="AN2" s="2654"/>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1346</v>
      </c>
    </row>
    <row r="7" spans="1:40" ht="12.95" customHeight="1">
      <c r="B7" s="436"/>
      <c r="C7" s="437"/>
      <c r="D7" s="437"/>
      <c r="E7" s="437"/>
      <c r="F7" s="437"/>
      <c r="G7" s="437"/>
      <c r="H7" s="437"/>
      <c r="I7" s="437"/>
      <c r="J7" s="437"/>
      <c r="K7" s="437"/>
      <c r="L7" s="437"/>
      <c r="M7" s="437"/>
      <c r="N7" s="437"/>
      <c r="O7" s="437"/>
      <c r="P7" s="437"/>
      <c r="Q7" s="437"/>
      <c r="R7" s="437"/>
      <c r="S7" s="437"/>
      <c r="T7" s="2655" t="str">
        <f xml:space="preserve"> IF(T25=100%,'Sources and Basis Breakdown'!G2,'Sources and Basis Breakdown'!F2)</f>
        <v>30% PVC for New Const/
Rehabilitation
NON-DDA/
NON-QCT Building(s)</v>
      </c>
      <c r="U7" s="2655"/>
      <c r="V7" s="2655"/>
      <c r="W7" s="2655"/>
      <c r="X7" s="2655"/>
      <c r="Y7" s="2655" t="str">
        <f>IF(T25=100%,"",'Sources and Basis Breakdown'!G2)</f>
        <v/>
      </c>
      <c r="Z7" s="2655"/>
      <c r="AA7" s="2655"/>
      <c r="AB7" s="2655"/>
      <c r="AC7" s="2655"/>
      <c r="AD7" s="2655" t="str">
        <f xml:space="preserve"> IF(T25=100%, 'Sources and Basis Breakdown'!J2,'Sources and Basis Breakdown'!I2)</f>
        <v>30% PVC for Acquisition
NON-DDA/
NON-QCT Building(s)</v>
      </c>
      <c r="AE7" s="2655"/>
      <c r="AF7" s="2655"/>
      <c r="AG7" s="2655"/>
      <c r="AH7" s="2655"/>
      <c r="AI7" s="2655" t="str">
        <f>IF(T25=100%,"",'Sources and Basis Breakdown'!J2)</f>
        <v/>
      </c>
      <c r="AJ7" s="2655"/>
      <c r="AK7" s="2655"/>
      <c r="AL7" s="2655"/>
      <c r="AM7" s="2655"/>
    </row>
    <row r="8" spans="1:40" ht="12.95" customHeight="1">
      <c r="B8" s="438"/>
      <c r="T8" s="2655"/>
      <c r="U8" s="2655"/>
      <c r="V8" s="2655"/>
      <c r="W8" s="2655"/>
      <c r="X8" s="2655"/>
      <c r="Y8" s="2655"/>
      <c r="Z8" s="2655"/>
      <c r="AA8" s="2655"/>
      <c r="AB8" s="2655"/>
      <c r="AC8" s="2655"/>
      <c r="AD8" s="2655"/>
      <c r="AE8" s="2655"/>
      <c r="AF8" s="2655"/>
      <c r="AG8" s="2655"/>
      <c r="AH8" s="2655"/>
      <c r="AI8" s="2655"/>
      <c r="AJ8" s="2655"/>
      <c r="AK8" s="2655"/>
      <c r="AL8" s="2655"/>
      <c r="AM8" s="2655"/>
    </row>
    <row r="9" spans="1:40" ht="12.95" customHeight="1">
      <c r="B9" s="438"/>
      <c r="T9" s="2655"/>
      <c r="U9" s="2655"/>
      <c r="V9" s="2655"/>
      <c r="W9" s="2655"/>
      <c r="X9" s="2655"/>
      <c r="Y9" s="2655"/>
      <c r="Z9" s="2655"/>
      <c r="AA9" s="2655"/>
      <c r="AB9" s="2655"/>
      <c r="AC9" s="2655"/>
      <c r="AD9" s="2655"/>
      <c r="AE9" s="2655"/>
      <c r="AF9" s="2655"/>
      <c r="AG9" s="2655"/>
      <c r="AH9" s="2655"/>
      <c r="AI9" s="2655"/>
      <c r="AJ9" s="2655"/>
      <c r="AK9" s="2655"/>
      <c r="AL9" s="2655"/>
      <c r="AM9" s="2655"/>
    </row>
    <row r="10" spans="1:40" ht="12.95" customHeight="1">
      <c r="B10" s="439"/>
      <c r="C10" s="440"/>
      <c r="D10" s="440"/>
      <c r="E10" s="440"/>
      <c r="F10" s="440"/>
      <c r="G10" s="440"/>
      <c r="H10" s="440"/>
      <c r="I10" s="440"/>
      <c r="J10" s="440"/>
      <c r="K10" s="440"/>
      <c r="L10" s="440"/>
      <c r="M10" s="440"/>
      <c r="N10" s="440"/>
      <c r="O10" s="440"/>
      <c r="P10" s="440"/>
      <c r="Q10" s="440"/>
      <c r="R10" s="440"/>
      <c r="S10" s="440"/>
      <c r="T10" s="2655"/>
      <c r="U10" s="2655"/>
      <c r="V10" s="2655"/>
      <c r="W10" s="2655"/>
      <c r="X10" s="2655"/>
      <c r="Y10" s="2655"/>
      <c r="Z10" s="2655"/>
      <c r="AA10" s="2655"/>
      <c r="AB10" s="2655"/>
      <c r="AC10" s="2655"/>
      <c r="AD10" s="2655"/>
      <c r="AE10" s="2655"/>
      <c r="AF10" s="2655"/>
      <c r="AG10" s="2655"/>
      <c r="AH10" s="2655"/>
      <c r="AI10" s="2655"/>
      <c r="AJ10" s="2655"/>
      <c r="AK10" s="2655"/>
      <c r="AL10" s="2655"/>
      <c r="AM10" s="2655"/>
    </row>
    <row r="11" spans="1:40" ht="12.95" customHeight="1">
      <c r="B11" s="2634" t="s">
        <v>376</v>
      </c>
      <c r="C11" s="2635"/>
      <c r="D11" s="2635"/>
      <c r="E11" s="2635"/>
      <c r="F11" s="2635"/>
      <c r="G11" s="2635"/>
      <c r="H11" s="2635"/>
      <c r="I11" s="2635"/>
      <c r="J11" s="2635"/>
      <c r="K11" s="2635"/>
      <c r="L11" s="2635"/>
      <c r="M11" s="2635"/>
      <c r="N11" s="2635"/>
      <c r="O11" s="2635"/>
      <c r="P11" s="2635"/>
      <c r="Q11" s="2635"/>
      <c r="R11" s="2635"/>
      <c r="S11" s="2636"/>
      <c r="T11" s="2656">
        <f>IF('Sources and Basis Breakdown'!F107=0,'Sources and Basis Breakdown'!E107,'Sources and Basis Breakdown'!F107)</f>
        <v>103279327</v>
      </c>
      <c r="U11" s="2657"/>
      <c r="V11" s="2657"/>
      <c r="W11" s="2657"/>
      <c r="X11" s="2657"/>
      <c r="Y11" s="2656">
        <f>IF(Y7="",0,IF('Sources and Basis Breakdown'!G107+'Sources and Basis Breakdown'!F107='Sources and Basis Breakdown'!E107,'Sources and Basis Breakdown'!G107,0))</f>
        <v>0</v>
      </c>
      <c r="Z11" s="2657"/>
      <c r="AA11" s="2657"/>
      <c r="AB11" s="2657"/>
      <c r="AC11" s="2657"/>
      <c r="AD11" s="2657">
        <f>IF('Sources and Basis Breakdown'!I107=0,'Sources and Basis Breakdown'!H107,'Sources and Basis Breakdown'!I107)</f>
        <v>0</v>
      </c>
      <c r="AE11" s="2657"/>
      <c r="AF11" s="2657"/>
      <c r="AG11" s="2657"/>
      <c r="AH11" s="2657"/>
      <c r="AI11" s="2657">
        <f>IF(Y7="",0,IF('Sources and Basis Breakdown'!I107+'Sources and Basis Breakdown'!J107='Sources and Basis Breakdown'!H107,'Sources and Basis Breakdown'!J107,0))</f>
        <v>0</v>
      </c>
      <c r="AJ11" s="2657"/>
      <c r="AK11" s="2657"/>
      <c r="AL11" s="2657"/>
      <c r="AM11" s="2657"/>
    </row>
    <row r="12" spans="1:40" ht="12.95" customHeight="1">
      <c r="B12" s="2649" t="s">
        <v>506</v>
      </c>
      <c r="C12" s="1293"/>
      <c r="D12" s="1293"/>
      <c r="E12" s="1293"/>
      <c r="F12" s="1293"/>
      <c r="G12" s="1293"/>
      <c r="H12" s="1293"/>
      <c r="I12" s="1293"/>
      <c r="J12" s="1293"/>
      <c r="K12" s="1293"/>
      <c r="L12" s="1293"/>
      <c r="M12" s="1293"/>
      <c r="N12" s="1293"/>
      <c r="O12" s="1293"/>
      <c r="P12" s="1293"/>
      <c r="Q12" s="1293"/>
      <c r="R12" s="1293"/>
      <c r="S12" s="2650"/>
      <c r="T12" s="2622"/>
      <c r="U12" s="2623"/>
      <c r="V12" s="2623"/>
      <c r="W12" s="2623"/>
      <c r="X12" s="2624"/>
      <c r="Y12" s="2622"/>
      <c r="Z12" s="2623"/>
      <c r="AA12" s="2623"/>
      <c r="AB12" s="2623"/>
      <c r="AC12" s="2624"/>
      <c r="AD12" s="2622"/>
      <c r="AE12" s="2623"/>
      <c r="AF12" s="2623"/>
      <c r="AG12" s="2623"/>
      <c r="AH12" s="2624"/>
      <c r="AI12" s="2622"/>
      <c r="AJ12" s="2623"/>
      <c r="AK12" s="2623"/>
      <c r="AL12" s="2623"/>
      <c r="AM12" s="2624"/>
    </row>
    <row r="13" spans="1:40" ht="12.95" customHeight="1">
      <c r="B13" s="467"/>
      <c r="C13" s="2651" t="s">
        <v>507</v>
      </c>
      <c r="D13" s="2651"/>
      <c r="E13" s="2651"/>
      <c r="F13" s="2651"/>
      <c r="G13" s="2651"/>
      <c r="H13" s="2651"/>
      <c r="I13" s="2651"/>
      <c r="J13" s="2651"/>
      <c r="K13" s="2651"/>
      <c r="L13" s="2651"/>
      <c r="M13" s="2651"/>
      <c r="N13" s="2651"/>
      <c r="O13" s="2651"/>
      <c r="P13" s="2651"/>
      <c r="Q13" s="2651"/>
      <c r="R13" s="2651"/>
      <c r="S13" s="2652"/>
      <c r="T13" s="2658"/>
      <c r="U13" s="2659"/>
      <c r="V13" s="2659"/>
      <c r="W13" s="2659"/>
      <c r="X13" s="2659"/>
      <c r="Y13" s="2658"/>
      <c r="Z13" s="2659"/>
      <c r="AA13" s="2659"/>
      <c r="AB13" s="2659"/>
      <c r="AC13" s="2659"/>
      <c r="AD13" s="2659"/>
      <c r="AE13" s="2659"/>
      <c r="AF13" s="2659"/>
      <c r="AG13" s="2659"/>
      <c r="AH13" s="2659"/>
      <c r="AI13" s="2659"/>
      <c r="AJ13" s="2659"/>
      <c r="AK13" s="2659"/>
      <c r="AL13" s="2659"/>
      <c r="AM13" s="2659"/>
    </row>
    <row r="14" spans="1:40" ht="12.95" customHeight="1">
      <c r="B14" s="467"/>
      <c r="C14" s="2651" t="s">
        <v>508</v>
      </c>
      <c r="D14" s="2651"/>
      <c r="E14" s="2651"/>
      <c r="F14" s="2651"/>
      <c r="G14" s="2651"/>
      <c r="H14" s="2651"/>
      <c r="I14" s="2651"/>
      <c r="J14" s="2651"/>
      <c r="K14" s="2651"/>
      <c r="L14" s="2651"/>
      <c r="M14" s="2651"/>
      <c r="N14" s="2651"/>
      <c r="O14" s="2651"/>
      <c r="P14" s="2651"/>
      <c r="Q14" s="2651"/>
      <c r="R14" s="2651"/>
      <c r="S14" s="2652"/>
      <c r="T14" s="2625"/>
      <c r="U14" s="2626"/>
      <c r="V14" s="2626"/>
      <c r="W14" s="2626"/>
      <c r="X14" s="2626"/>
      <c r="Y14" s="2625"/>
      <c r="Z14" s="2626"/>
      <c r="AA14" s="2626"/>
      <c r="AB14" s="2626"/>
      <c r="AC14" s="2626"/>
      <c r="AD14" s="2626"/>
      <c r="AE14" s="2626"/>
      <c r="AF14" s="2626"/>
      <c r="AG14" s="2626"/>
      <c r="AH14" s="2626"/>
      <c r="AI14" s="2626"/>
      <c r="AJ14" s="2626"/>
      <c r="AK14" s="2626"/>
      <c r="AL14" s="2626"/>
      <c r="AM14" s="2626"/>
    </row>
    <row r="15" spans="1:40" ht="12.95" customHeight="1">
      <c r="B15" s="467"/>
      <c r="C15" s="2651" t="s">
        <v>509</v>
      </c>
      <c r="D15" s="2651"/>
      <c r="E15" s="2651"/>
      <c r="F15" s="2651"/>
      <c r="G15" s="2651"/>
      <c r="H15" s="2651"/>
      <c r="I15" s="2651"/>
      <c r="J15" s="2651"/>
      <c r="K15" s="2651"/>
      <c r="L15" s="2651"/>
      <c r="M15" s="2651"/>
      <c r="N15" s="2651"/>
      <c r="O15" s="2651"/>
      <c r="P15" s="2651"/>
      <c r="Q15" s="2651"/>
      <c r="R15" s="2651"/>
      <c r="S15" s="2652"/>
      <c r="T15" s="2625"/>
      <c r="U15" s="2626"/>
      <c r="V15" s="2626"/>
      <c r="W15" s="2626"/>
      <c r="X15" s="2626"/>
      <c r="Y15" s="2625"/>
      <c r="Z15" s="2626"/>
      <c r="AA15" s="2626"/>
      <c r="AB15" s="2626"/>
      <c r="AC15" s="2626"/>
      <c r="AD15" s="2626"/>
      <c r="AE15" s="2626"/>
      <c r="AF15" s="2626"/>
      <c r="AG15" s="2626"/>
      <c r="AH15" s="2626"/>
      <c r="AI15" s="2626"/>
      <c r="AJ15" s="2626"/>
      <c r="AK15" s="2626"/>
      <c r="AL15" s="2626"/>
      <c r="AM15" s="2626"/>
    </row>
    <row r="16" spans="1:40" ht="12.95" customHeight="1">
      <c r="B16" s="467"/>
      <c r="C16" s="2651" t="s">
        <v>815</v>
      </c>
      <c r="D16" s="2651"/>
      <c r="E16" s="2651"/>
      <c r="F16" s="2651"/>
      <c r="G16" s="2651"/>
      <c r="H16" s="2651"/>
      <c r="I16" s="2651"/>
      <c r="J16" s="2651"/>
      <c r="K16" s="2651"/>
      <c r="L16" s="2651"/>
      <c r="M16" s="2651"/>
      <c r="N16" s="2651"/>
      <c r="O16" s="2651"/>
      <c r="P16" s="2651"/>
      <c r="Q16" s="2651"/>
      <c r="R16" s="2651"/>
      <c r="S16" s="2652"/>
      <c r="T16" s="2625"/>
      <c r="U16" s="2626"/>
      <c r="V16" s="2626"/>
      <c r="W16" s="2626"/>
      <c r="X16" s="2626"/>
      <c r="Y16" s="2625"/>
      <c r="Z16" s="2626"/>
      <c r="AA16" s="2626"/>
      <c r="AB16" s="2626"/>
      <c r="AC16" s="2626"/>
      <c r="AD16" s="2626"/>
      <c r="AE16" s="2626"/>
      <c r="AF16" s="2626"/>
      <c r="AG16" s="2626"/>
      <c r="AH16" s="2626"/>
      <c r="AI16" s="2626"/>
      <c r="AJ16" s="2626"/>
      <c r="AK16" s="2626"/>
      <c r="AL16" s="2626"/>
      <c r="AM16" s="2626"/>
    </row>
    <row r="17" spans="1:40" ht="12.95" customHeight="1">
      <c r="B17" s="467"/>
      <c r="C17" s="2651" t="s">
        <v>510</v>
      </c>
      <c r="D17" s="2651"/>
      <c r="E17" s="2651"/>
      <c r="F17" s="2651"/>
      <c r="G17" s="2651"/>
      <c r="H17" s="2651"/>
      <c r="I17" s="2651"/>
      <c r="J17" s="2651"/>
      <c r="K17" s="2651"/>
      <c r="L17" s="2651"/>
      <c r="M17" s="2651"/>
      <c r="N17" s="2651"/>
      <c r="O17" s="2651"/>
      <c r="P17" s="2651"/>
      <c r="Q17" s="2651"/>
      <c r="R17" s="2651"/>
      <c r="S17" s="2652"/>
      <c r="T17" s="2625"/>
      <c r="U17" s="2626"/>
      <c r="V17" s="2626"/>
      <c r="W17" s="2626"/>
      <c r="X17" s="2626"/>
      <c r="Y17" s="2625"/>
      <c r="Z17" s="2626"/>
      <c r="AA17" s="2626"/>
      <c r="AB17" s="2626"/>
      <c r="AC17" s="2626"/>
      <c r="AD17" s="2626"/>
      <c r="AE17" s="2626"/>
      <c r="AF17" s="2626"/>
      <c r="AG17" s="2626"/>
      <c r="AH17" s="2626"/>
      <c r="AI17" s="2626"/>
      <c r="AJ17" s="2626"/>
      <c r="AK17" s="2626"/>
      <c r="AL17" s="2626"/>
      <c r="AM17" s="2626"/>
    </row>
    <row r="18" spans="1:40" ht="12.95" customHeight="1">
      <c r="A18"/>
      <c r="B18" s="1194"/>
      <c r="C18" s="1729" t="s">
        <v>980</v>
      </c>
      <c r="D18" s="1729"/>
      <c r="E18" s="1729"/>
      <c r="F18" s="1729"/>
      <c r="G18" s="1729"/>
      <c r="H18" s="1729"/>
      <c r="I18" s="1729"/>
      <c r="J18" s="1729"/>
      <c r="K18" s="1729"/>
      <c r="L18" s="1729"/>
      <c r="M18" s="1729"/>
      <c r="N18" s="1729"/>
      <c r="O18" s="1729"/>
      <c r="P18" s="1729"/>
      <c r="Q18" s="1729"/>
      <c r="R18" s="1729"/>
      <c r="S18" s="1730"/>
      <c r="T18" s="2625"/>
      <c r="U18" s="2626"/>
      <c r="V18" s="2626"/>
      <c r="W18" s="2626"/>
      <c r="X18" s="2626"/>
      <c r="Y18" s="2625"/>
      <c r="Z18" s="2626"/>
      <c r="AA18" s="2626"/>
      <c r="AB18" s="2626"/>
      <c r="AC18" s="2626"/>
      <c r="AD18" s="2626"/>
      <c r="AE18" s="2626"/>
      <c r="AF18" s="2626"/>
      <c r="AG18" s="2626"/>
      <c r="AH18" s="2626"/>
      <c r="AI18" s="2626"/>
      <c r="AJ18" s="2626"/>
      <c r="AK18" s="2626"/>
      <c r="AL18" s="2626"/>
      <c r="AM18" s="2626"/>
    </row>
    <row r="19" spans="1:40" ht="12.95" customHeight="1">
      <c r="B19" s="1194"/>
      <c r="C19" s="1729" t="s">
        <v>980</v>
      </c>
      <c r="D19" s="1729"/>
      <c r="E19" s="1729"/>
      <c r="F19" s="1729"/>
      <c r="G19" s="1729"/>
      <c r="H19" s="1729"/>
      <c r="I19" s="1729"/>
      <c r="J19" s="1729"/>
      <c r="K19" s="1729"/>
      <c r="L19" s="1729"/>
      <c r="M19" s="1729"/>
      <c r="N19" s="1729"/>
      <c r="O19" s="1729"/>
      <c r="P19" s="1729"/>
      <c r="Q19" s="1729"/>
      <c r="R19" s="1729"/>
      <c r="S19" s="1730"/>
      <c r="T19" s="2625"/>
      <c r="U19" s="2626"/>
      <c r="V19" s="2626"/>
      <c r="W19" s="2626"/>
      <c r="X19" s="2626"/>
      <c r="Y19" s="2625"/>
      <c r="Z19" s="2626"/>
      <c r="AA19" s="2626"/>
      <c r="AB19" s="2626"/>
      <c r="AC19" s="2626"/>
      <c r="AD19" s="2626"/>
      <c r="AE19" s="2626"/>
      <c r="AF19" s="2626"/>
      <c r="AG19" s="2626"/>
      <c r="AH19" s="2626"/>
      <c r="AI19" s="2626"/>
      <c r="AJ19" s="2626"/>
      <c r="AK19" s="2626"/>
      <c r="AL19" s="2626"/>
      <c r="AM19" s="2626"/>
    </row>
    <row r="20" spans="1:40" ht="12.95" customHeight="1">
      <c r="B20" s="2634" t="s">
        <v>511</v>
      </c>
      <c r="C20" s="2635"/>
      <c r="D20" s="2635"/>
      <c r="E20" s="2635"/>
      <c r="F20" s="2635"/>
      <c r="G20" s="2635"/>
      <c r="H20" s="2635"/>
      <c r="I20" s="2635"/>
      <c r="J20" s="2635"/>
      <c r="K20" s="2635"/>
      <c r="L20" s="2635"/>
      <c r="M20" s="2635"/>
      <c r="N20" s="2635"/>
      <c r="O20" s="2635"/>
      <c r="P20" s="2635"/>
      <c r="Q20" s="2635"/>
      <c r="R20" s="2635"/>
      <c r="S20" s="2636"/>
      <c r="T20" s="2627">
        <f>SUM(T13:X19)</f>
        <v>0</v>
      </c>
      <c r="U20" s="2628"/>
      <c r="V20" s="2628"/>
      <c r="W20" s="2628"/>
      <c r="X20" s="2628"/>
      <c r="Y20" s="2627">
        <f>SUM(Y13:AC19)</f>
        <v>0</v>
      </c>
      <c r="Z20" s="2628"/>
      <c r="AA20" s="2628"/>
      <c r="AB20" s="2628"/>
      <c r="AC20" s="2628"/>
      <c r="AD20" s="2629">
        <f>SUM(AD13:AH19)</f>
        <v>0</v>
      </c>
      <c r="AE20" s="2630"/>
      <c r="AF20" s="2630"/>
      <c r="AG20" s="2630"/>
      <c r="AH20" s="2627"/>
      <c r="AI20" s="2629">
        <f>SUM(AI13:AM19)</f>
        <v>0</v>
      </c>
      <c r="AJ20" s="2630"/>
      <c r="AK20" s="2630"/>
      <c r="AL20" s="2630"/>
      <c r="AM20" s="2627"/>
    </row>
    <row r="21" spans="1:40" ht="12.95" customHeight="1">
      <c r="B21" s="2634" t="s">
        <v>1373</v>
      </c>
      <c r="C21" s="2635"/>
      <c r="D21" s="2635"/>
      <c r="E21" s="2635"/>
      <c r="F21" s="2635"/>
      <c r="G21" s="2635"/>
      <c r="H21" s="2635"/>
      <c r="I21" s="2635"/>
      <c r="J21" s="2635"/>
      <c r="K21" s="2635"/>
      <c r="L21" s="2635"/>
      <c r="M21" s="2635"/>
      <c r="N21" s="2635"/>
      <c r="O21" s="2635"/>
      <c r="P21" s="2635"/>
      <c r="Q21" s="2635"/>
      <c r="R21" s="2635"/>
      <c r="S21" s="2636"/>
      <c r="T21" s="2625"/>
      <c r="U21" s="2626"/>
      <c r="V21" s="2626"/>
      <c r="W21" s="2626"/>
      <c r="X21" s="2626"/>
      <c r="Y21" s="2625"/>
      <c r="Z21" s="2626"/>
      <c r="AA21" s="2626"/>
      <c r="AB21" s="2626"/>
      <c r="AC21" s="2626"/>
      <c r="AD21" s="2622"/>
      <c r="AE21" s="2623"/>
      <c r="AF21" s="2623"/>
      <c r="AG21" s="2623"/>
      <c r="AH21" s="2624"/>
      <c r="AI21" s="2622"/>
      <c r="AJ21" s="2623"/>
      <c r="AK21" s="2623"/>
      <c r="AL21" s="2623"/>
      <c r="AM21" s="2624"/>
    </row>
    <row r="22" spans="1:40" ht="12.95" customHeight="1">
      <c r="B22" s="2634" t="s">
        <v>512</v>
      </c>
      <c r="C22" s="2635"/>
      <c r="D22" s="2635"/>
      <c r="E22" s="2635"/>
      <c r="F22" s="2635"/>
      <c r="G22" s="2635"/>
      <c r="H22" s="2635"/>
      <c r="I22" s="2635"/>
      <c r="J22" s="2635"/>
      <c r="K22" s="2635"/>
      <c r="L22" s="2635"/>
      <c r="M22" s="2635"/>
      <c r="N22" s="2635"/>
      <c r="O22" s="2635"/>
      <c r="P22" s="2635"/>
      <c r="Q22" s="2635"/>
      <c r="R22" s="2635"/>
      <c r="S22" s="2636"/>
      <c r="T22" s="2660">
        <f>(ABS(T20)+ABS(T21))*-1</f>
        <v>0</v>
      </c>
      <c r="U22" s="2661"/>
      <c r="V22" s="2661"/>
      <c r="W22" s="2661"/>
      <c r="X22" s="2661"/>
      <c r="Y22" s="2660">
        <f>(Y20+Y21)*-1</f>
        <v>0</v>
      </c>
      <c r="Z22" s="2661"/>
      <c r="AA22" s="2661"/>
      <c r="AB22" s="2661"/>
      <c r="AC22" s="2661"/>
      <c r="AD22" s="2662">
        <f>(AD20)*-1</f>
        <v>0</v>
      </c>
      <c r="AE22" s="2663"/>
      <c r="AF22" s="2663"/>
      <c r="AG22" s="2663"/>
      <c r="AH22" s="2660"/>
      <c r="AI22" s="2662">
        <f>(AI20)*-1</f>
        <v>0</v>
      </c>
      <c r="AJ22" s="2663"/>
      <c r="AK22" s="2663"/>
      <c r="AL22" s="2663"/>
      <c r="AM22" s="2660"/>
    </row>
    <row r="23" spans="1:40" ht="12.95" customHeight="1">
      <c r="B23" s="2634" t="s">
        <v>513</v>
      </c>
      <c r="C23" s="2635"/>
      <c r="D23" s="2635"/>
      <c r="E23" s="2635"/>
      <c r="F23" s="2635"/>
      <c r="G23" s="2635"/>
      <c r="H23" s="2635"/>
      <c r="I23" s="2635"/>
      <c r="J23" s="2635"/>
      <c r="K23" s="2635"/>
      <c r="L23" s="2635"/>
      <c r="M23" s="2635"/>
      <c r="N23" s="2635"/>
      <c r="O23" s="2635"/>
      <c r="P23" s="2635"/>
      <c r="Q23" s="2635"/>
      <c r="R23" s="2635"/>
      <c r="S23" s="2636"/>
      <c r="T23" s="2627">
        <f>T11+T22</f>
        <v>103279327</v>
      </c>
      <c r="U23" s="2628"/>
      <c r="V23" s="2628"/>
      <c r="W23" s="2628"/>
      <c r="X23" s="2628"/>
      <c r="Y23" s="2627">
        <f>Y11+Y22</f>
        <v>0</v>
      </c>
      <c r="Z23" s="2628"/>
      <c r="AA23" s="2628"/>
      <c r="AB23" s="2628"/>
      <c r="AC23" s="2628"/>
      <c r="AD23" s="2627">
        <f>AD11+AD22</f>
        <v>0</v>
      </c>
      <c r="AE23" s="2628"/>
      <c r="AF23" s="2628"/>
      <c r="AG23" s="2628"/>
      <c r="AH23" s="2628"/>
      <c r="AI23" s="2627">
        <f>AI11+AI22</f>
        <v>0</v>
      </c>
      <c r="AJ23" s="2628"/>
      <c r="AK23" s="2628"/>
      <c r="AL23" s="2628"/>
      <c r="AM23" s="2628"/>
    </row>
    <row r="24" spans="1:40" ht="12.95" customHeight="1">
      <c r="B24" s="2634" t="s">
        <v>981</v>
      </c>
      <c r="C24" s="2635"/>
      <c r="D24" s="2635"/>
      <c r="E24" s="2635"/>
      <c r="F24" s="2635"/>
      <c r="G24" s="2635"/>
      <c r="H24" s="2635"/>
      <c r="I24" s="2635"/>
      <c r="J24" s="2635"/>
      <c r="K24" s="2635"/>
      <c r="L24" s="2635"/>
      <c r="M24" s="2635"/>
      <c r="N24" s="2635"/>
      <c r="O24" s="2635"/>
      <c r="P24" s="2635"/>
      <c r="Q24" s="2635"/>
      <c r="R24" s="2635"/>
      <c r="S24" s="2636"/>
      <c r="T24" s="2629">
        <f>Application!AJ1052</f>
        <v>167261286.22</v>
      </c>
      <c r="U24" s="2630"/>
      <c r="V24" s="2630"/>
      <c r="W24" s="2630"/>
      <c r="X24" s="2630"/>
      <c r="Y24" s="2630"/>
      <c r="Z24" s="2630"/>
      <c r="AA24" s="2630"/>
      <c r="AB24" s="2630"/>
      <c r="AC24" s="2630"/>
      <c r="AD24" s="2630"/>
      <c r="AE24" s="2630"/>
      <c r="AF24" s="2630"/>
      <c r="AG24" s="2630"/>
      <c r="AH24" s="2630"/>
      <c r="AI24" s="2630"/>
      <c r="AJ24" s="2630"/>
      <c r="AK24" s="2630"/>
      <c r="AL24" s="2630"/>
      <c r="AM24" s="2627"/>
    </row>
    <row r="25" spans="1:40" ht="12.95" customHeight="1">
      <c r="B25" s="2638" t="s">
        <v>1374</v>
      </c>
      <c r="C25" s="2639"/>
      <c r="D25" s="2639"/>
      <c r="E25" s="2639"/>
      <c r="F25" s="2639"/>
      <c r="G25" s="2639"/>
      <c r="H25" s="2639"/>
      <c r="I25" s="2639"/>
      <c r="J25" s="2639"/>
      <c r="K25" s="2639"/>
      <c r="L25" s="2639"/>
      <c r="M25" s="2639"/>
      <c r="N25" s="2639"/>
      <c r="O25" s="2639"/>
      <c r="P25" s="2639"/>
      <c r="Q25" s="2639"/>
      <c r="R25" s="2639"/>
      <c r="S25" s="2640"/>
      <c r="T25" s="2664">
        <f>IF(OR(Application!T196="yes",Application!T195="yes"),1.3,1)</f>
        <v>1</v>
      </c>
      <c r="U25" s="2665"/>
      <c r="V25" s="2665"/>
      <c r="W25" s="2665"/>
      <c r="X25" s="2665"/>
      <c r="Y25" s="2664">
        <v>1</v>
      </c>
      <c r="Z25" s="2665"/>
      <c r="AA25" s="2665"/>
      <c r="AB25" s="2665"/>
      <c r="AC25" s="2665"/>
      <c r="AD25" s="2664">
        <v>1</v>
      </c>
      <c r="AE25" s="2665"/>
      <c r="AF25" s="2665"/>
      <c r="AG25" s="2665"/>
      <c r="AH25" s="2666"/>
      <c r="AI25" s="2664">
        <v>1</v>
      </c>
      <c r="AJ25" s="2665"/>
      <c r="AK25" s="2665"/>
      <c r="AL25" s="2665"/>
      <c r="AM25" s="2666"/>
    </row>
    <row r="26" spans="1:40" ht="12.95" customHeight="1">
      <c r="B26" s="2634" t="s">
        <v>514</v>
      </c>
      <c r="C26" s="2635"/>
      <c r="D26" s="2635"/>
      <c r="E26" s="2635"/>
      <c r="F26" s="2635"/>
      <c r="G26" s="2635"/>
      <c r="H26" s="2635"/>
      <c r="I26" s="2635"/>
      <c r="J26" s="2635"/>
      <c r="K26" s="2635"/>
      <c r="L26" s="2635"/>
      <c r="M26" s="2635"/>
      <c r="N26" s="2635"/>
      <c r="O26" s="2635"/>
      <c r="P26" s="2635"/>
      <c r="Q26" s="2635"/>
      <c r="R26" s="2635"/>
      <c r="S26" s="2636"/>
      <c r="T26" s="2627">
        <f>T23*T25</f>
        <v>103279327</v>
      </c>
      <c r="U26" s="2628"/>
      <c r="V26" s="2628"/>
      <c r="W26" s="2628"/>
      <c r="X26" s="2628"/>
      <c r="Y26" s="2627">
        <f>Y23*Y25</f>
        <v>0</v>
      </c>
      <c r="Z26" s="2628"/>
      <c r="AA26" s="2628"/>
      <c r="AB26" s="2628"/>
      <c r="AC26" s="2628"/>
      <c r="AD26" s="2627">
        <f>AD23*AD25</f>
        <v>0</v>
      </c>
      <c r="AE26" s="2628"/>
      <c r="AF26" s="2628"/>
      <c r="AG26" s="2628"/>
      <c r="AH26" s="2628"/>
      <c r="AI26" s="2627">
        <f>AI23*AI25</f>
        <v>0</v>
      </c>
      <c r="AJ26" s="2628"/>
      <c r="AK26" s="2628"/>
      <c r="AL26" s="2628"/>
      <c r="AM26" s="2628"/>
    </row>
    <row r="27" spans="1:40" ht="12.95" customHeight="1">
      <c r="A27" s="441"/>
      <c r="B27" s="2641" t="s">
        <v>427</v>
      </c>
      <c r="C27" s="2642"/>
      <c r="D27" s="2642"/>
      <c r="E27" s="2642"/>
      <c r="F27" s="2642"/>
      <c r="G27" s="2642"/>
      <c r="H27" s="2642"/>
      <c r="I27" s="2642"/>
      <c r="J27" s="2642"/>
      <c r="K27" s="2642"/>
      <c r="L27" s="2642"/>
      <c r="M27" s="2642"/>
      <c r="N27" s="2642"/>
      <c r="O27" s="2642"/>
      <c r="P27" s="2642"/>
      <c r="Q27" s="2642"/>
      <c r="R27" s="2642"/>
      <c r="S27" s="2643"/>
      <c r="T27" s="2647">
        <f>Application!$AG$445</f>
        <v>1</v>
      </c>
      <c r="U27" s="2648"/>
      <c r="V27" s="2648"/>
      <c r="W27" s="2648"/>
      <c r="X27" s="2648"/>
      <c r="Y27" s="2647">
        <f>Application!$AG$445</f>
        <v>1</v>
      </c>
      <c r="Z27" s="2648"/>
      <c r="AA27" s="2648"/>
      <c r="AB27" s="2648"/>
      <c r="AC27" s="2648"/>
      <c r="AD27" s="2647">
        <f>Application!$AG$445</f>
        <v>1</v>
      </c>
      <c r="AE27" s="2648"/>
      <c r="AF27" s="2648"/>
      <c r="AG27" s="2648"/>
      <c r="AH27" s="2648"/>
      <c r="AI27" s="2647">
        <f>Application!$AG$445</f>
        <v>1</v>
      </c>
      <c r="AJ27" s="2648"/>
      <c r="AK27" s="2648"/>
      <c r="AL27" s="2648"/>
      <c r="AM27" s="2648"/>
    </row>
    <row r="28" spans="1:40" ht="12.95" customHeight="1">
      <c r="A28" s="435"/>
      <c r="B28" s="2634" t="s">
        <v>515</v>
      </c>
      <c r="C28" s="2635"/>
      <c r="D28" s="2635"/>
      <c r="E28" s="2635"/>
      <c r="F28" s="2635"/>
      <c r="G28" s="2635"/>
      <c r="H28" s="2635"/>
      <c r="I28" s="2635"/>
      <c r="J28" s="2635"/>
      <c r="K28" s="2635"/>
      <c r="L28" s="2635"/>
      <c r="M28" s="2635"/>
      <c r="N28" s="2635"/>
      <c r="O28" s="2635"/>
      <c r="P28" s="2635"/>
      <c r="Q28" s="2635"/>
      <c r="R28" s="2635"/>
      <c r="S28" s="2636"/>
      <c r="T28" s="2627">
        <f>IF(ISERROR((T26*T27)),0,(T26*T27))</f>
        <v>103279327</v>
      </c>
      <c r="U28" s="2628"/>
      <c r="V28" s="2628"/>
      <c r="W28" s="2628"/>
      <c r="X28" s="2628"/>
      <c r="Y28" s="2627">
        <f>IF(ISERROR((Y26*Y27)),0,(Y26*Y27))</f>
        <v>0</v>
      </c>
      <c r="Z28" s="2628"/>
      <c r="AA28" s="2628"/>
      <c r="AB28" s="2628"/>
      <c r="AC28" s="2628"/>
      <c r="AD28" s="2627">
        <f>IF(ISERROR((AD26*AD27)),0,(AD26*AD27))</f>
        <v>0</v>
      </c>
      <c r="AE28" s="2628"/>
      <c r="AF28" s="2628"/>
      <c r="AG28" s="2628"/>
      <c r="AH28" s="2628"/>
      <c r="AI28" s="2627">
        <f>IF(ISERROR((AI26*AI27)),0,(AI26*AI27))</f>
        <v>0</v>
      </c>
      <c r="AJ28" s="2628"/>
      <c r="AK28" s="2628"/>
      <c r="AL28" s="2628"/>
      <c r="AM28" s="2628"/>
    </row>
    <row r="29" spans="1:40" ht="12.95" customHeight="1">
      <c r="B29" s="2634" t="s">
        <v>532</v>
      </c>
      <c r="C29" s="2635"/>
      <c r="D29" s="2635"/>
      <c r="E29" s="2635"/>
      <c r="F29" s="2635"/>
      <c r="G29" s="2635"/>
      <c r="H29" s="2635"/>
      <c r="I29" s="2635"/>
      <c r="J29" s="2635"/>
      <c r="K29" s="2635"/>
      <c r="L29" s="2635"/>
      <c r="M29" s="2635"/>
      <c r="N29" s="2635"/>
      <c r="O29" s="2635"/>
      <c r="P29" s="2635"/>
      <c r="Q29" s="2635"/>
      <c r="R29" s="2635"/>
      <c r="S29" s="2636"/>
      <c r="T29" s="2629">
        <f>T28+Y28+AD28+AI28</f>
        <v>103279327</v>
      </c>
      <c r="U29" s="2630"/>
      <c r="V29" s="2630"/>
      <c r="W29" s="2630"/>
      <c r="X29" s="2630"/>
      <c r="Y29" s="2630"/>
      <c r="Z29" s="2630"/>
      <c r="AA29" s="2630"/>
      <c r="AB29" s="2630"/>
      <c r="AC29" s="2630"/>
      <c r="AD29" s="2630"/>
      <c r="AE29" s="2630"/>
      <c r="AF29" s="2630"/>
      <c r="AG29" s="2630"/>
      <c r="AH29" s="2630"/>
      <c r="AI29" s="2630"/>
      <c r="AJ29" s="2630"/>
      <c r="AK29" s="2630"/>
      <c r="AL29" s="2630"/>
      <c r="AM29" s="2627"/>
    </row>
    <row r="30" spans="1:40" ht="12.95" customHeight="1">
      <c r="B30" s="2637" t="s">
        <v>1376</v>
      </c>
      <c r="C30" s="2637"/>
      <c r="D30" s="2637"/>
      <c r="E30" s="2637"/>
      <c r="F30" s="2637"/>
      <c r="G30" s="2637"/>
      <c r="H30" s="2637"/>
      <c r="I30" s="2637"/>
      <c r="J30" s="2637"/>
      <c r="K30" s="2637"/>
      <c r="L30" s="2637"/>
      <c r="M30" s="2637"/>
      <c r="N30" s="2637"/>
      <c r="O30" s="2637"/>
      <c r="P30" s="2637"/>
      <c r="Q30" s="2637"/>
      <c r="R30" s="2637"/>
      <c r="S30" s="2637"/>
      <c r="T30" s="2637"/>
      <c r="U30" s="2637"/>
      <c r="V30" s="2637"/>
      <c r="W30" s="2637"/>
      <c r="X30" s="2637"/>
      <c r="Y30" s="2637"/>
      <c r="Z30" s="2637"/>
      <c r="AA30" s="2637"/>
      <c r="AB30" s="2637"/>
      <c r="AC30" s="2637"/>
      <c r="AD30" s="2637"/>
      <c r="AE30" s="2637"/>
      <c r="AF30" s="2637"/>
      <c r="AG30" s="2637"/>
      <c r="AH30" s="2637"/>
      <c r="AI30" s="2637"/>
      <c r="AJ30" s="2637"/>
      <c r="AK30" s="2637"/>
      <c r="AL30" s="2637"/>
      <c r="AM30" s="2637"/>
    </row>
    <row r="31" spans="1:40" ht="12.95" customHeight="1">
      <c r="B31" s="2637" t="s">
        <v>1375</v>
      </c>
      <c r="C31" s="2637"/>
      <c r="D31" s="2637"/>
      <c r="E31" s="2637"/>
      <c r="F31" s="2637"/>
      <c r="G31" s="2637"/>
      <c r="H31" s="2637"/>
      <c r="I31" s="2637"/>
      <c r="J31" s="2637"/>
      <c r="K31" s="2637"/>
      <c r="L31" s="2637"/>
      <c r="M31" s="2637"/>
      <c r="N31" s="2637"/>
      <c r="O31" s="2637"/>
      <c r="P31" s="2637"/>
      <c r="Q31" s="2637"/>
      <c r="R31" s="2637"/>
      <c r="S31" s="2637"/>
      <c r="T31" s="2637"/>
      <c r="U31" s="2637"/>
      <c r="V31" s="2637"/>
      <c r="W31" s="2637"/>
      <c r="X31" s="2637"/>
      <c r="Y31" s="2637"/>
      <c r="Z31" s="2637"/>
      <c r="AA31" s="2637"/>
      <c r="AB31" s="2637"/>
      <c r="AC31" s="2637"/>
      <c r="AD31" s="2637"/>
      <c r="AE31" s="2637"/>
      <c r="AF31" s="2637"/>
      <c r="AG31" s="2637"/>
      <c r="AH31" s="2637"/>
      <c r="AI31" s="2637"/>
      <c r="AJ31" s="2637"/>
      <c r="AK31" s="2637"/>
      <c r="AL31" s="2637"/>
      <c r="AM31" s="2637"/>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585</v>
      </c>
      <c r="C34" s="435" t="s">
        <v>577</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55" t="s">
        <v>1257</v>
      </c>
      <c r="Z35" s="2655"/>
      <c r="AA35" s="2655"/>
      <c r="AB35" s="2655"/>
      <c r="AC35" s="2655"/>
      <c r="AD35" s="2678" t="s">
        <v>370</v>
      </c>
      <c r="AE35" s="2678"/>
      <c r="AF35" s="2678"/>
      <c r="AG35" s="2678"/>
      <c r="AH35" s="2678"/>
    </row>
    <row r="36" spans="1:76" ht="12.95" customHeight="1">
      <c r="B36" s="438"/>
      <c r="X36" s="443"/>
      <c r="Y36" s="2655"/>
      <c r="Z36" s="2655"/>
      <c r="AA36" s="2655"/>
      <c r="AB36" s="2655"/>
      <c r="AC36" s="2655"/>
      <c r="AD36" s="2678"/>
      <c r="AE36" s="2678"/>
      <c r="AF36" s="2678"/>
      <c r="AG36" s="2678"/>
      <c r="AH36" s="2678"/>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55"/>
      <c r="Z37" s="2655"/>
      <c r="AA37" s="2655"/>
      <c r="AB37" s="2655"/>
      <c r="AC37" s="2655"/>
      <c r="AD37" s="2678"/>
      <c r="AE37" s="2678"/>
      <c r="AF37" s="2678"/>
      <c r="AG37" s="2678"/>
      <c r="AH37" s="2678"/>
    </row>
    <row r="38" spans="1:76" ht="12.95" customHeight="1">
      <c r="A38" s="435"/>
      <c r="B38" s="2634" t="s">
        <v>515</v>
      </c>
      <c r="C38" s="2635"/>
      <c r="D38" s="2635"/>
      <c r="E38" s="2635"/>
      <c r="F38" s="2635"/>
      <c r="G38" s="2635"/>
      <c r="H38" s="2635"/>
      <c r="I38" s="2635"/>
      <c r="J38" s="2635"/>
      <c r="K38" s="2635"/>
      <c r="L38" s="2635"/>
      <c r="M38" s="2635"/>
      <c r="N38" s="2635"/>
      <c r="O38" s="2635"/>
      <c r="P38" s="2635"/>
      <c r="Q38" s="2635"/>
      <c r="R38" s="2635"/>
      <c r="S38" s="2635"/>
      <c r="T38" s="2635"/>
      <c r="U38" s="2635"/>
      <c r="V38" s="2635"/>
      <c r="W38" s="2635"/>
      <c r="X38" s="2636"/>
      <c r="Y38" s="2628">
        <f>IF(T24&gt;=(T23+Y23+AD23+AI23),T28+Y28,0)</f>
        <v>103279327</v>
      </c>
      <c r="Z38" s="2628"/>
      <c r="AA38" s="2628"/>
      <c r="AB38" s="2628"/>
      <c r="AC38" s="2628"/>
      <c r="AD38" s="2628">
        <f>IF(T24&gt;=(T23+Y23+AD23+AI23),AD28+AI28,0)</f>
        <v>0</v>
      </c>
      <c r="AE38" s="2628"/>
      <c r="AF38" s="2628"/>
      <c r="AG38" s="2628"/>
      <c r="AH38" s="2628"/>
    </row>
    <row r="39" spans="1:76" ht="12.95" customHeight="1">
      <c r="B39" s="2634" t="s">
        <v>1881</v>
      </c>
      <c r="C39" s="2635"/>
      <c r="D39" s="2635"/>
      <c r="E39" s="2635"/>
      <c r="F39" s="2635"/>
      <c r="G39" s="2635"/>
      <c r="H39" s="2635"/>
      <c r="I39" s="2635"/>
      <c r="J39" s="2635"/>
      <c r="K39" s="2635"/>
      <c r="L39" s="2635"/>
      <c r="M39" s="2635"/>
      <c r="N39" s="2635"/>
      <c r="O39" s="2635"/>
      <c r="P39" s="2635"/>
      <c r="Q39" s="2635"/>
      <c r="R39" s="2635"/>
      <c r="S39" s="2635"/>
      <c r="T39" s="2635"/>
      <c r="U39" s="2635"/>
      <c r="V39" s="2635"/>
      <c r="W39" s="2635"/>
      <c r="X39" s="2636"/>
      <c r="Y39" s="2679">
        <v>0.04</v>
      </c>
      <c r="Z39" s="2679"/>
      <c r="AA39" s="2679"/>
      <c r="AB39" s="2679"/>
      <c r="AC39" s="2679"/>
      <c r="AD39" s="2679">
        <v>0.04</v>
      </c>
      <c r="AE39" s="2679"/>
      <c r="AF39" s="2679"/>
      <c r="AG39" s="2679"/>
      <c r="AH39" s="2679"/>
    </row>
    <row r="40" spans="1:76" ht="12.95" customHeight="1">
      <c r="A40" s="435"/>
      <c r="B40" s="2634" t="s">
        <v>651</v>
      </c>
      <c r="C40" s="2635"/>
      <c r="D40" s="2635"/>
      <c r="E40" s="2635"/>
      <c r="F40" s="2635"/>
      <c r="G40" s="2635"/>
      <c r="H40" s="2635"/>
      <c r="I40" s="2635"/>
      <c r="J40" s="2635"/>
      <c r="K40" s="2635"/>
      <c r="L40" s="2635"/>
      <c r="M40" s="2635"/>
      <c r="N40" s="2635"/>
      <c r="O40" s="2635"/>
      <c r="P40" s="2635"/>
      <c r="Q40" s="2635"/>
      <c r="R40" s="2635"/>
      <c r="S40" s="2635"/>
      <c r="T40" s="2635"/>
      <c r="U40" s="2635"/>
      <c r="V40" s="2635"/>
      <c r="W40" s="2635"/>
      <c r="X40" s="2636"/>
      <c r="Y40" s="2628">
        <f>ROUND(Y38*Y39,0)</f>
        <v>4131173</v>
      </c>
      <c r="Z40" s="2628"/>
      <c r="AA40" s="2628"/>
      <c r="AB40" s="2628"/>
      <c r="AC40" s="2628"/>
      <c r="AD40" s="2627">
        <f>ROUND(AD38*AD39,0)</f>
        <v>0</v>
      </c>
      <c r="AE40" s="2628"/>
      <c r="AF40" s="2628"/>
      <c r="AG40" s="2628"/>
      <c r="AH40" s="2628"/>
    </row>
    <row r="41" spans="1:76" ht="12.95" customHeight="1">
      <c r="B41" s="2634" t="s">
        <v>652</v>
      </c>
      <c r="C41" s="2635"/>
      <c r="D41" s="2635"/>
      <c r="E41" s="2635"/>
      <c r="F41" s="2635"/>
      <c r="G41" s="2635"/>
      <c r="H41" s="2635"/>
      <c r="I41" s="2635"/>
      <c r="J41" s="2635"/>
      <c r="K41" s="2635"/>
      <c r="L41" s="2635"/>
      <c r="M41" s="2635"/>
      <c r="N41" s="2635"/>
      <c r="O41" s="2635"/>
      <c r="P41" s="2635"/>
      <c r="Q41" s="2635"/>
      <c r="R41" s="2635"/>
      <c r="S41" s="2635"/>
      <c r="T41" s="2635"/>
      <c r="U41" s="2635"/>
      <c r="V41" s="2635"/>
      <c r="W41" s="2635"/>
      <c r="X41" s="2636"/>
      <c r="Y41" s="2629">
        <f>Y40+AD40</f>
        <v>4131173</v>
      </c>
      <c r="Z41" s="2630"/>
      <c r="AA41" s="2630"/>
      <c r="AB41" s="2630"/>
      <c r="AC41" s="2630"/>
      <c r="AD41" s="2630"/>
      <c r="AE41" s="2630"/>
      <c r="AF41" s="2630"/>
      <c r="AG41" s="2630"/>
      <c r="AH41" s="2627"/>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32" t="s">
        <v>1386</v>
      </c>
      <c r="B44" s="2632"/>
      <c r="C44" s="2632"/>
      <c r="D44" s="2632"/>
      <c r="E44" s="2632"/>
      <c r="F44" s="2632"/>
      <c r="G44" s="2632"/>
      <c r="H44" s="2632"/>
      <c r="I44" s="2632"/>
      <c r="J44" s="2632"/>
      <c r="K44" s="2632"/>
      <c r="L44" s="2632"/>
      <c r="M44" s="2632"/>
      <c r="N44" s="2632"/>
      <c r="O44" s="2632"/>
      <c r="P44" s="2632"/>
      <c r="Q44" s="2632"/>
      <c r="R44" s="2632"/>
      <c r="S44" s="2632"/>
      <c r="T44" s="2632"/>
      <c r="U44" s="2632"/>
      <c r="V44" s="2632"/>
      <c r="W44" s="2632"/>
      <c r="X44" s="2632"/>
      <c r="Y44" s="2632"/>
      <c r="Z44" s="2632"/>
      <c r="AA44" s="2632"/>
      <c r="AB44" s="2632"/>
      <c r="AC44" s="2632"/>
      <c r="AD44" s="2632"/>
      <c r="AE44" s="2632"/>
      <c r="AF44" s="2632"/>
      <c r="AG44" s="2632"/>
      <c r="AH44" s="2632"/>
      <c r="AI44" s="2632"/>
      <c r="AJ44" s="2632"/>
      <c r="AK44" s="2632"/>
      <c r="AL44" s="2632"/>
      <c r="AM44" s="2632"/>
      <c r="AN44" s="2632"/>
      <c r="AO44" s="2632"/>
      <c r="AP44" s="2632"/>
      <c r="AQ44" s="2632"/>
      <c r="AR44" s="2632"/>
      <c r="AS44" s="2632"/>
      <c r="AT44" s="2632"/>
      <c r="AU44" s="2632"/>
      <c r="AV44" s="2632"/>
      <c r="AW44" s="2632"/>
      <c r="AX44" s="2632"/>
      <c r="AY44" s="2632"/>
      <c r="AZ44" s="2632"/>
      <c r="BA44" s="2632"/>
      <c r="BB44" s="2632"/>
      <c r="BC44" s="2632"/>
      <c r="BD44" s="2632"/>
      <c r="BE44" s="2632"/>
      <c r="BF44" s="2632"/>
      <c r="BG44" s="2632"/>
      <c r="BH44" s="2632"/>
      <c r="BI44" s="2632"/>
      <c r="BJ44" s="2632"/>
      <c r="BK44" s="2632"/>
      <c r="BL44" s="2632"/>
      <c r="BM44" s="2632"/>
      <c r="BN44" s="2632"/>
      <c r="BO44" s="2632"/>
      <c r="BP44" s="2632"/>
      <c r="BQ44" s="2632"/>
      <c r="BR44" s="2632"/>
      <c r="BS44" s="2632"/>
      <c r="BT44" s="2632"/>
      <c r="BU44" s="2632"/>
      <c r="BV44" s="2632"/>
      <c r="BW44" s="2632"/>
      <c r="BX44" s="2632"/>
    </row>
    <row r="45" spans="1:76" s="218" customFormat="1" ht="12.95" customHeight="1" thickTop="1"/>
    <row r="46" spans="1:76" ht="12.95" customHeight="1">
      <c r="A46" s="435" t="s">
        <v>595</v>
      </c>
      <c r="C46" s="435" t="s">
        <v>283</v>
      </c>
    </row>
    <row r="47" spans="1:76" ht="12.95" customHeight="1">
      <c r="D47" s="435" t="s">
        <v>284</v>
      </c>
      <c r="AB47" s="2644">
        <f>'Sources and Uses Budget'!B105-MAX(IF('Sources and Uses Budget'!B15="",0,'Sources and Uses Budget'!B15),IF(Application!AG394="",0,Application!AG394))</f>
        <v>108545328</v>
      </c>
      <c r="AC47" s="2645"/>
      <c r="AD47" s="2645"/>
      <c r="AE47" s="2645"/>
      <c r="AF47" s="2646"/>
    </row>
    <row r="48" spans="1:76" ht="12.95" customHeight="1">
      <c r="D48" s="435" t="s">
        <v>21</v>
      </c>
      <c r="AB48" s="2644">
        <f>Application!AO639-MAX(IF('Sources and Uses Budget'!B15="",0,'Sources and Uses Budget'!B15),IF(Application!AG394="",0,Application!AG394))</f>
        <v>45039805</v>
      </c>
      <c r="AC48" s="2645"/>
      <c r="AD48" s="2645"/>
      <c r="AE48" s="2645"/>
      <c r="AF48" s="2646"/>
    </row>
    <row r="49" spans="1:76" ht="12.95" customHeight="1">
      <c r="D49" s="435" t="s">
        <v>91</v>
      </c>
      <c r="AB49" s="2644">
        <f>AB47-AB48</f>
        <v>63505523</v>
      </c>
      <c r="AC49" s="2645"/>
      <c r="AD49" s="2645"/>
      <c r="AE49" s="2645"/>
      <c r="AF49" s="2646"/>
    </row>
    <row r="50" spans="1:76" ht="12.95" customHeight="1">
      <c r="D50" s="435" t="s">
        <v>690</v>
      </c>
      <c r="AA50" s="446"/>
      <c r="AB50" s="2671">
        <v>0.90090000000000003</v>
      </c>
      <c r="AC50" s="2672"/>
      <c r="AD50" s="2672"/>
      <c r="AE50" s="2672"/>
      <c r="AF50" s="2673"/>
    </row>
    <row r="51" spans="1:76" s="448" customFormat="1" ht="12.95" customHeight="1">
      <c r="A51" s="433"/>
      <c r="B51" s="433"/>
      <c r="C51" s="433"/>
      <c r="D51" s="433"/>
      <c r="E51" s="2674" t="s">
        <v>2041</v>
      </c>
      <c r="F51" s="2674"/>
      <c r="G51" s="2674"/>
      <c r="H51" s="2674"/>
      <c r="I51" s="2674"/>
      <c r="J51" s="2674"/>
      <c r="K51" s="2674"/>
      <c r="L51" s="2674"/>
      <c r="M51" s="2674"/>
      <c r="N51" s="2674"/>
      <c r="O51" s="2674"/>
      <c r="P51" s="2674"/>
      <c r="Q51" s="2674"/>
      <c r="R51" s="2674"/>
      <c r="S51" s="2674"/>
      <c r="T51" s="2674"/>
      <c r="U51" s="2674"/>
      <c r="V51" s="2674"/>
      <c r="W51" s="2674"/>
      <c r="X51" s="2674"/>
      <c r="Y51" s="2674"/>
      <c r="Z51" s="2674"/>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74"/>
      <c r="F52" s="2674"/>
      <c r="G52" s="2674"/>
      <c r="H52" s="2674"/>
      <c r="I52" s="2674"/>
      <c r="J52" s="2674"/>
      <c r="K52" s="2674"/>
      <c r="L52" s="2674"/>
      <c r="M52" s="2674"/>
      <c r="N52" s="2674"/>
      <c r="O52" s="2674"/>
      <c r="P52" s="2674"/>
      <c r="Q52" s="2674"/>
      <c r="R52" s="2674"/>
      <c r="S52" s="2674"/>
      <c r="T52" s="2674"/>
      <c r="U52" s="2674"/>
      <c r="V52" s="2674"/>
      <c r="W52" s="2674"/>
      <c r="X52" s="2674"/>
      <c r="Y52" s="2674"/>
      <c r="Z52" s="2674"/>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44">
        <f>ROUND(IF(ISERROR((AB49/AB50)),0,(AB49/AB50)),0)</f>
        <v>70491201</v>
      </c>
      <c r="AC54" s="2645"/>
      <c r="AD54" s="2645"/>
      <c r="AE54" s="2645"/>
      <c r="AF54" s="2646"/>
    </row>
    <row r="55" spans="1:76" ht="12.95" customHeight="1">
      <c r="D55" s="435" t="s">
        <v>334</v>
      </c>
      <c r="AB55" s="2644">
        <f>(AB54/10)</f>
        <v>7049120.0999999996</v>
      </c>
      <c r="AC55" s="2645"/>
      <c r="AD55" s="2645"/>
      <c r="AE55" s="2645"/>
      <c r="AF55" s="2646"/>
    </row>
    <row r="56" spans="1:76" ht="12.95" customHeight="1">
      <c r="D56" s="435" t="s">
        <v>766</v>
      </c>
      <c r="AB56" s="2675">
        <f>(IF((Y41&lt;AB55),Y41,AB55))</f>
        <v>4131173</v>
      </c>
      <c r="AC56" s="2676"/>
      <c r="AD56" s="2676"/>
      <c r="AE56" s="2676"/>
      <c r="AF56" s="2677"/>
    </row>
    <row r="57" spans="1:76" ht="12.95" customHeight="1">
      <c r="D57" s="435" t="s">
        <v>765</v>
      </c>
      <c r="AB57" s="2644">
        <f>ROUND((10*AB56*AB50),0)</f>
        <v>37217738</v>
      </c>
      <c r="AC57" s="2645"/>
      <c r="AD57" s="2645"/>
      <c r="AE57" s="2645"/>
      <c r="AF57" s="2646"/>
    </row>
    <row r="58" spans="1:76" ht="12.95" customHeight="1">
      <c r="D58" s="435"/>
      <c r="AB58" s="454"/>
      <c r="AC58" s="454"/>
      <c r="AD58" s="454"/>
      <c r="AE58" s="454"/>
      <c r="AF58" s="454"/>
    </row>
    <row r="59" spans="1:76" ht="12.95" customHeight="1">
      <c r="D59" s="435" t="s">
        <v>764</v>
      </c>
      <c r="AB59" s="2667">
        <f>AB49-AB57</f>
        <v>26287785</v>
      </c>
      <c r="AC59" s="2667"/>
      <c r="AD59" s="2667"/>
      <c r="AE59" s="2667"/>
      <c r="AF59" s="2667"/>
    </row>
    <row r="60" spans="1:76" ht="12.95" customHeight="1">
      <c r="D60" s="435"/>
      <c r="AB60" s="454"/>
      <c r="AC60" s="454"/>
      <c r="AD60" s="454"/>
      <c r="AE60" s="454"/>
      <c r="AF60" s="454"/>
    </row>
    <row r="61" spans="1:76" s="218" customFormat="1" ht="12.95" customHeight="1" thickBot="1">
      <c r="A61" s="2632" t="str">
        <f>IF(Application!AP205="yes","Farmworker State Credit", "State Credit" )</f>
        <v>State Credit</v>
      </c>
      <c r="B61" s="2632"/>
      <c r="C61" s="2632"/>
      <c r="D61" s="2632"/>
      <c r="E61" s="2632"/>
      <c r="F61" s="2632"/>
      <c r="G61" s="2632"/>
      <c r="H61" s="2632"/>
      <c r="I61" s="2632"/>
      <c r="J61" s="2632"/>
      <c r="K61" s="2632"/>
      <c r="L61" s="2632"/>
      <c r="M61" s="2632"/>
      <c r="N61" s="2632"/>
      <c r="O61" s="2632"/>
      <c r="P61" s="2632"/>
      <c r="Q61" s="2632"/>
      <c r="R61" s="2632"/>
      <c r="S61" s="2632"/>
      <c r="T61" s="2632"/>
      <c r="U61" s="2632"/>
      <c r="V61" s="2632"/>
      <c r="W61" s="2632"/>
      <c r="X61" s="2632"/>
      <c r="Y61" s="2632"/>
      <c r="Z61" s="2632"/>
      <c r="AA61" s="2632"/>
      <c r="AB61" s="2632"/>
      <c r="AC61" s="2632"/>
      <c r="AD61" s="2632"/>
      <c r="AE61" s="2632"/>
      <c r="AF61" s="2632"/>
      <c r="AG61" s="2632"/>
      <c r="AH61" s="2632"/>
      <c r="AI61" s="2632"/>
      <c r="AJ61" s="2632"/>
      <c r="AK61" s="2632"/>
      <c r="AL61" s="2632"/>
      <c r="AM61" s="2632"/>
      <c r="AN61" s="2632"/>
      <c r="AO61" s="2632"/>
      <c r="AP61" s="2632"/>
      <c r="AQ61" s="2632"/>
      <c r="AR61" s="2632"/>
      <c r="AS61" s="2632"/>
      <c r="AT61" s="2632"/>
      <c r="AU61" s="2632"/>
      <c r="AV61" s="2632"/>
      <c r="AW61" s="2632"/>
      <c r="AX61" s="2632"/>
      <c r="AY61" s="2632"/>
      <c r="AZ61" s="2632"/>
      <c r="BA61" s="2632"/>
      <c r="BB61" s="2632"/>
      <c r="BC61" s="2632"/>
      <c r="BD61" s="2632"/>
      <c r="BE61" s="2632"/>
      <c r="BF61" s="2632"/>
      <c r="BG61" s="2632"/>
      <c r="BH61" s="2632"/>
      <c r="BI61" s="2632"/>
      <c r="BJ61" s="2632"/>
      <c r="BK61" s="2632"/>
      <c r="BL61" s="2632"/>
      <c r="BM61" s="2632"/>
      <c r="BN61" s="2632"/>
      <c r="BO61" s="2632"/>
      <c r="BP61" s="2632"/>
      <c r="BQ61" s="2632"/>
      <c r="BR61" s="2632"/>
      <c r="BS61" s="2632"/>
      <c r="BT61" s="2632"/>
      <c r="BU61" s="2632"/>
      <c r="BV61" s="2632"/>
      <c r="BW61" s="2632"/>
      <c r="BX61" s="2632"/>
    </row>
    <row r="62" spans="1:76" s="218" customFormat="1" ht="12.95" customHeight="1" thickTop="1"/>
    <row r="63" spans="1:76" ht="12.95" customHeight="1">
      <c r="A63" s="435" t="s">
        <v>598</v>
      </c>
      <c r="C63" s="219" t="s">
        <v>1358</v>
      </c>
      <c r="Y63" s="2668" t="s">
        <v>1004</v>
      </c>
      <c r="Z63" s="2668"/>
      <c r="AA63" s="2668"/>
      <c r="AB63" s="2668"/>
      <c r="AC63" s="2668"/>
      <c r="AD63" s="2668" t="s">
        <v>370</v>
      </c>
      <c r="AE63" s="2668"/>
      <c r="AF63" s="2668"/>
      <c r="AG63" s="2668"/>
      <c r="AH63" s="2668"/>
    </row>
    <row r="64" spans="1:76" ht="12.95" customHeight="1">
      <c r="C64" s="435"/>
      <c r="D64" s="408" t="s">
        <v>1359</v>
      </c>
      <c r="E64" s="451"/>
      <c r="F64" s="451"/>
      <c r="G64" s="451"/>
      <c r="H64" s="451"/>
      <c r="I64" s="451"/>
      <c r="J64" s="451"/>
      <c r="K64" s="451"/>
      <c r="L64" s="451"/>
      <c r="M64" s="451"/>
      <c r="N64" s="451"/>
      <c r="O64" s="451"/>
      <c r="P64" s="451"/>
      <c r="Q64" s="451"/>
      <c r="R64" s="451"/>
      <c r="S64" s="451"/>
      <c r="T64" s="451"/>
      <c r="U64" s="451"/>
      <c r="V64" s="451"/>
      <c r="W64" s="451"/>
      <c r="X64" s="451"/>
      <c r="Y64" s="2629">
        <f>IF(Application!Z205="(select)",0,((T23*T27)+Y28))</f>
        <v>103279327</v>
      </c>
      <c r="Z64" s="2669"/>
      <c r="AA64" s="2669"/>
      <c r="AB64" s="2669"/>
      <c r="AC64" s="2670"/>
      <c r="AD64" s="2629">
        <f>IF(AND(OR(Application!D211="At-Risk",Application!D211="At-Risk and Special Needs"),Application!M358="yes"),AD28+AI28,0)</f>
        <v>0</v>
      </c>
      <c r="AE64" s="2669"/>
      <c r="AF64" s="2669"/>
      <c r="AG64" s="2669"/>
      <c r="AH64" s="2670"/>
    </row>
    <row r="65" spans="1:36" ht="12.95" customHeight="1">
      <c r="C65" s="435"/>
      <c r="E65" s="1052" t="s">
        <v>2039</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2040</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85">
        <f>IF(OR(Application!AP205="yes",Application!Z204="$500M (Farmworker Housing)"),0.75,IF(Application!Z204="15% set-aside",0.13,IF(Application!Z204="15% set-aside with qualifying low value rehab",0.95,0.3)))</f>
        <v>0.3</v>
      </c>
      <c r="Z67" s="2685"/>
      <c r="AA67" s="2685"/>
      <c r="AB67" s="2685"/>
      <c r="AC67" s="2685"/>
      <c r="AD67" s="2685">
        <f>IF(Application!Z204="15% set-aside with qualifying low value rehab", 0.95,0.13)</f>
        <v>0.13</v>
      </c>
      <c r="AE67" s="2685"/>
      <c r="AF67" s="2685"/>
      <c r="AG67" s="2685"/>
      <c r="AH67" s="2685"/>
    </row>
    <row r="68" spans="1:36" ht="12.95" customHeight="1">
      <c r="C68" s="435"/>
      <c r="D68" s="219" t="s">
        <v>2637</v>
      </c>
      <c r="Y68" s="2628">
        <f>ROUND(Y64*Y67,0)</f>
        <v>30983798</v>
      </c>
      <c r="Z68" s="2686"/>
      <c r="AA68" s="2686"/>
      <c r="AB68" s="2686"/>
      <c r="AC68" s="2686"/>
      <c r="AD68" s="2628">
        <f>ROUND(AD64*AD67,0)</f>
        <v>0</v>
      </c>
      <c r="AE68" s="2686"/>
      <c r="AF68" s="2686"/>
      <c r="AG68" s="2686"/>
      <c r="AH68" s="2686"/>
    </row>
    <row r="69" spans="1:36" ht="12.95" customHeight="1">
      <c r="C69" s="435"/>
      <c r="D69" s="219" t="s">
        <v>2638</v>
      </c>
      <c r="Y69" s="2628">
        <f>IF(OR(Application!AP205="yes",Application!Z204="$500M (Farmworker Housing)"),Y68+AD68,MIN(Y68+AD68,200000*(Application!G753+Application!O777)))</f>
        <v>29400000</v>
      </c>
      <c r="Z69" s="2628"/>
      <c r="AA69" s="2628"/>
      <c r="AB69" s="2628"/>
      <c r="AC69" s="2628"/>
      <c r="AD69" s="2628"/>
      <c r="AE69" s="2628"/>
      <c r="AF69" s="2628"/>
      <c r="AG69" s="2628"/>
      <c r="AH69" s="2628"/>
    </row>
    <row r="70" spans="1:36" ht="12.95" customHeight="1">
      <c r="C70" s="435"/>
      <c r="E70" s="435"/>
      <c r="AB70" s="453"/>
      <c r="AC70" s="453"/>
      <c r="AD70" s="453"/>
      <c r="AE70" s="453"/>
      <c r="AF70" s="453"/>
    </row>
    <row r="71" spans="1:36" ht="12.95" customHeight="1">
      <c r="A71" s="435" t="s">
        <v>599</v>
      </c>
      <c r="C71" s="219" t="s">
        <v>285</v>
      </c>
    </row>
    <row r="72" spans="1:36" ht="12.95" customHeight="1">
      <c r="A72" s="435"/>
      <c r="C72" s="435"/>
      <c r="D72" s="219" t="s">
        <v>1360</v>
      </c>
      <c r="AB72" s="2671">
        <v>0.9</v>
      </c>
      <c r="AC72" s="2672"/>
      <c r="AD72" s="2672"/>
      <c r="AE72" s="2672"/>
      <c r="AF72" s="2673"/>
    </row>
    <row r="73" spans="1:36" ht="12.95" customHeight="1">
      <c r="A73" s="435"/>
      <c r="C73" s="435"/>
      <c r="D73" s="435"/>
      <c r="E73" s="2687" t="s">
        <v>1361</v>
      </c>
      <c r="F73" s="2687"/>
      <c r="G73" s="2687"/>
      <c r="H73" s="2687"/>
      <c r="I73" s="2687"/>
      <c r="J73" s="2687"/>
      <c r="K73" s="2687"/>
      <c r="L73" s="2687"/>
      <c r="M73" s="2687"/>
      <c r="N73" s="2687"/>
      <c r="O73" s="2687"/>
      <c r="P73" s="2687"/>
      <c r="Q73" s="2687"/>
      <c r="R73" s="2687"/>
      <c r="S73" s="2687"/>
      <c r="T73" s="2687"/>
      <c r="U73" s="2687"/>
      <c r="V73" s="2687"/>
      <c r="W73" s="2687"/>
      <c r="X73" s="2687"/>
      <c r="Y73" s="2687"/>
      <c r="Z73" s="2687"/>
      <c r="AA73" s="2687"/>
      <c r="AB73" s="471"/>
      <c r="AC73" s="471"/>
    </row>
    <row r="74" spans="1:36" ht="12.95" customHeight="1">
      <c r="A74" s="435"/>
      <c r="C74" s="435"/>
      <c r="D74" s="435"/>
      <c r="E74" s="2687"/>
      <c r="F74" s="2687"/>
      <c r="G74" s="2687"/>
      <c r="H74" s="2687"/>
      <c r="I74" s="2687"/>
      <c r="J74" s="2687"/>
      <c r="K74" s="2687"/>
      <c r="L74" s="2687"/>
      <c r="M74" s="2687"/>
      <c r="N74" s="2687"/>
      <c r="O74" s="2687"/>
      <c r="P74" s="2687"/>
      <c r="Q74" s="2687"/>
      <c r="R74" s="2687"/>
      <c r="S74" s="2687"/>
      <c r="T74" s="2687"/>
      <c r="U74" s="2687"/>
      <c r="V74" s="2687"/>
      <c r="W74" s="2687"/>
      <c r="X74" s="2687"/>
      <c r="Y74" s="2687"/>
      <c r="Z74" s="2687"/>
      <c r="AA74" s="2687"/>
      <c r="AB74" s="471"/>
      <c r="AC74" s="471"/>
    </row>
    <row r="75" spans="1:36" ht="12.95" customHeight="1">
      <c r="A75" s="435"/>
      <c r="C75" s="435"/>
      <c r="D75" s="435"/>
      <c r="E75" s="2687"/>
      <c r="F75" s="2687"/>
      <c r="G75" s="2687"/>
      <c r="H75" s="2687"/>
      <c r="I75" s="2687"/>
      <c r="J75" s="2687"/>
      <c r="K75" s="2687"/>
      <c r="L75" s="2687"/>
      <c r="M75" s="2687"/>
      <c r="N75" s="2687"/>
      <c r="O75" s="2687"/>
      <c r="P75" s="2687"/>
      <c r="Q75" s="2687"/>
      <c r="R75" s="2687"/>
      <c r="S75" s="2687"/>
      <c r="T75" s="2687"/>
      <c r="U75" s="2687"/>
      <c r="V75" s="2687"/>
      <c r="W75" s="2687"/>
      <c r="X75" s="2687"/>
      <c r="Y75" s="2687"/>
      <c r="Z75" s="2687"/>
      <c r="AA75" s="2687"/>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1362</v>
      </c>
      <c r="AB77" s="2680">
        <f>ROUND(IF(ISERROR((AB59/AB72)),0,(AB59/AB72)),0)</f>
        <v>29208650</v>
      </c>
      <c r="AC77" s="2680"/>
      <c r="AD77" s="2680"/>
      <c r="AE77" s="2680"/>
      <c r="AF77" s="2680"/>
    </row>
    <row r="78" spans="1:36" ht="12.95" customHeight="1">
      <c r="C78" s="435"/>
      <c r="D78" s="219" t="s">
        <v>1363</v>
      </c>
      <c r="AB78" s="2681">
        <f>MIN(Y69,AB77)</f>
        <v>29208650</v>
      </c>
      <c r="AC78" s="2682"/>
      <c r="AD78" s="2682"/>
      <c r="AE78" s="2682"/>
      <c r="AF78" s="2683"/>
    </row>
    <row r="79" spans="1:36" ht="12.95" customHeight="1">
      <c r="C79" s="435"/>
      <c r="D79" s="219" t="s">
        <v>1364</v>
      </c>
      <c r="AB79" s="2684">
        <f>AB78*AB72</f>
        <v>26287785</v>
      </c>
      <c r="AC79" s="2684"/>
      <c r="AD79" s="2684"/>
      <c r="AE79" s="2684"/>
      <c r="AF79" s="2684"/>
    </row>
    <row r="80" spans="1:36" ht="12.95" customHeight="1">
      <c r="C80" s="435"/>
      <c r="D80" s="435"/>
      <c r="AB80" s="456"/>
      <c r="AC80" s="456"/>
      <c r="AD80" s="456"/>
      <c r="AE80" s="456"/>
      <c r="AF80" s="456"/>
    </row>
    <row r="81" spans="1:78" ht="12.95" customHeight="1">
      <c r="D81" s="435" t="s">
        <v>764</v>
      </c>
      <c r="AB81" s="2667">
        <f>AB49-(AB57+AB79)</f>
        <v>0</v>
      </c>
      <c r="AC81" s="2667"/>
      <c r="AD81" s="2667"/>
      <c r="AE81" s="2667"/>
      <c r="AF81" s="2667"/>
    </row>
    <row r="82" spans="1:78" ht="12.95" customHeight="1">
      <c r="F82" s="556"/>
      <c r="J82" s="556" t="str">
        <f>IF(AB81&gt;0,"FUNDING GAP MUST NOT EXCEED ZERO","")</f>
        <v/>
      </c>
    </row>
    <row r="83" spans="1:78" ht="12.95" customHeight="1">
      <c r="D83" s="557"/>
    </row>
    <row r="84" spans="1:78" ht="12.95" customHeight="1" thickBot="1">
      <c r="A84" s="2632"/>
      <c r="B84" s="2632"/>
      <c r="C84" s="2632"/>
      <c r="D84" s="2632"/>
      <c r="E84" s="2632"/>
      <c r="F84" s="2632"/>
      <c r="G84" s="2632"/>
      <c r="H84" s="2632"/>
      <c r="I84" s="2632"/>
      <c r="J84" s="2632"/>
      <c r="K84" s="2632"/>
      <c r="L84" s="2632"/>
      <c r="M84" s="2632"/>
      <c r="N84" s="2632"/>
      <c r="O84" s="2632"/>
      <c r="P84" s="2632"/>
      <c r="Q84" s="2632"/>
      <c r="R84" s="2632"/>
      <c r="S84" s="2632"/>
      <c r="T84" s="2632"/>
      <c r="U84" s="2632"/>
      <c r="V84" s="2632"/>
      <c r="W84" s="2632"/>
      <c r="X84" s="2632"/>
      <c r="Y84" s="2632"/>
      <c r="Z84" s="2632"/>
      <c r="AA84" s="2632"/>
      <c r="AB84" s="2632"/>
      <c r="AC84" s="2632"/>
      <c r="AD84" s="2632"/>
      <c r="AE84" s="2632"/>
      <c r="AF84" s="2632"/>
      <c r="AG84" s="2632"/>
      <c r="AH84" s="2632"/>
      <c r="AI84" s="2632"/>
      <c r="AJ84" s="2632"/>
      <c r="AK84" s="2632"/>
      <c r="AL84" s="2632"/>
      <c r="AM84" s="2632"/>
      <c r="AN84" s="2632"/>
      <c r="AO84" s="2632"/>
      <c r="AP84" s="2632"/>
      <c r="AQ84" s="2632"/>
      <c r="AR84" s="2632"/>
      <c r="AS84" s="2632"/>
      <c r="AT84" s="2632"/>
      <c r="AU84" s="2632"/>
      <c r="AV84" s="2632"/>
      <c r="AW84" s="2632"/>
      <c r="AX84" s="2632"/>
      <c r="AY84" s="2632"/>
      <c r="AZ84" s="2632"/>
      <c r="BA84" s="2632"/>
      <c r="BB84" s="2632"/>
      <c r="BC84" s="2632"/>
      <c r="BD84" s="2632"/>
      <c r="BE84" s="2632"/>
      <c r="BF84" s="2632"/>
      <c r="BG84" s="2632"/>
      <c r="BH84" s="2632"/>
      <c r="BI84" s="2632"/>
      <c r="BJ84" s="2632"/>
      <c r="BK84" s="2632"/>
      <c r="BL84" s="2632"/>
      <c r="BM84" s="2632"/>
      <c r="BN84" s="2632"/>
      <c r="BO84" s="2632"/>
      <c r="BP84" s="2632"/>
      <c r="BQ84" s="2632"/>
      <c r="BR84" s="2632"/>
      <c r="BS84" s="2632"/>
      <c r="BT84" s="2632"/>
      <c r="BU84" s="2632"/>
      <c r="BV84" s="2632"/>
      <c r="BW84" s="2632"/>
      <c r="BX84" s="2632"/>
    </row>
    <row r="85" spans="1:78" ht="12.95" customHeight="1" thickTop="1"/>
    <row r="86" spans="1:78" ht="12.95" customHeight="1">
      <c r="A86" s="435"/>
      <c r="C86" s="219"/>
    </row>
    <row r="87" spans="1:78" ht="12.95" customHeight="1">
      <c r="D87" s="219"/>
      <c r="AB87" s="2633"/>
      <c r="AC87" s="2633"/>
      <c r="AD87" s="2633"/>
      <c r="AE87" s="2633"/>
      <c r="AF87" s="2633"/>
    </row>
    <row r="88" spans="1:78" ht="12.95" customHeight="1" thickBot="1">
      <c r="D88" s="219"/>
      <c r="AB88" s="2631"/>
      <c r="AC88" s="2631"/>
      <c r="AD88" s="2631"/>
      <c r="AE88" s="2631"/>
      <c r="AF88" s="2631"/>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34/CB8VRXzH4BvCigKxvFoaSF7szDIwmLsd1mv909ufonlzlqVwveycz9UJL5efODoE6izDC845450X0Ambkg==" saltValue="pBkLoeCETt8sIZ6OTNOD8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topLeftCell="A4" workbookViewId="0">
      <selection activeCell="F19" sqref="F19"/>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88" t="s">
        <v>925</v>
      </c>
      <c r="B1" s="2688"/>
      <c r="C1" s="2688"/>
      <c r="D1" s="2688"/>
      <c r="E1" s="2688"/>
      <c r="F1" s="2688"/>
      <c r="G1" s="2688"/>
      <c r="H1" s="2688"/>
      <c r="I1" s="2688"/>
      <c r="J1" s="2688"/>
      <c r="K1" s="218"/>
      <c r="L1" s="218"/>
    </row>
    <row r="2" spans="1:12">
      <c r="A2" s="225"/>
      <c r="B2" s="225"/>
      <c r="C2" s="225"/>
      <c r="D2" s="225"/>
      <c r="E2" s="225"/>
      <c r="F2" s="225"/>
      <c r="G2" s="225"/>
      <c r="H2" s="225"/>
      <c r="I2" s="225"/>
      <c r="J2" s="225"/>
    </row>
    <row r="3" spans="1:12" ht="99.75">
      <c r="A3" s="457" t="s">
        <v>926</v>
      </c>
      <c r="B3" s="457" t="s">
        <v>927</v>
      </c>
      <c r="C3" s="457" t="s">
        <v>2258</v>
      </c>
      <c r="D3" s="1190" t="s">
        <v>928</v>
      </c>
      <c r="E3" s="218"/>
      <c r="F3" s="1190" t="s">
        <v>929</v>
      </c>
      <c r="G3" s="457" t="s">
        <v>930</v>
      </c>
      <c r="H3" s="458"/>
      <c r="I3" s="457" t="s">
        <v>931</v>
      </c>
      <c r="J3" s="457" t="s">
        <v>932</v>
      </c>
      <c r="K3" s="218"/>
      <c r="L3" s="328"/>
    </row>
    <row r="4" spans="1:12">
      <c r="A4" s="459" t="str">
        <f>Application!B718</f>
        <v>SRO/Studio</v>
      </c>
      <c r="B4" s="1121">
        <f>Application!G718</f>
        <v>7</v>
      </c>
      <c r="C4" s="1122" t="s">
        <v>301</v>
      </c>
      <c r="D4" s="459">
        <f>Application!O718</f>
        <v>783</v>
      </c>
      <c r="E4" s="460"/>
      <c r="F4" s="1123">
        <v>2062</v>
      </c>
      <c r="G4" s="459">
        <f>F4*B4</f>
        <v>14434</v>
      </c>
      <c r="H4" s="460"/>
      <c r="I4" s="459">
        <f t="shared" ref="I4:I27" si="0">IF(F4=0,"",(F4-D4))</f>
        <v>1279</v>
      </c>
      <c r="J4" s="459">
        <f t="shared" ref="J4:J27" si="1">IF(F4=0,"",(I4*B4))</f>
        <v>8953</v>
      </c>
      <c r="K4" s="218"/>
      <c r="L4" s="328"/>
    </row>
    <row r="5" spans="1:12">
      <c r="A5" s="459" t="str">
        <f>Application!B719</f>
        <v>SRO/Studio</v>
      </c>
      <c r="B5" s="1121">
        <f>Application!G719</f>
        <v>2</v>
      </c>
      <c r="C5" s="1122" t="s">
        <v>301</v>
      </c>
      <c r="D5" s="459">
        <f>Application!O719</f>
        <v>783</v>
      </c>
      <c r="E5" s="460"/>
      <c r="F5" s="1123">
        <v>2119</v>
      </c>
      <c r="G5" s="459">
        <f t="shared" ref="G5:G38" si="2">F5*B5</f>
        <v>4238</v>
      </c>
      <c r="H5" s="460"/>
      <c r="I5" s="459">
        <f t="shared" si="0"/>
        <v>1336</v>
      </c>
      <c r="J5" s="459">
        <f t="shared" si="1"/>
        <v>2672</v>
      </c>
      <c r="K5" s="218"/>
      <c r="L5" s="328"/>
    </row>
    <row r="6" spans="1:12">
      <c r="A6" s="459" t="str">
        <f>Application!B720</f>
        <v>SRO/Studio</v>
      </c>
      <c r="B6" s="1121">
        <f>Application!G720</f>
        <v>15</v>
      </c>
      <c r="C6" s="1122"/>
      <c r="D6" s="459">
        <f>Application!O720</f>
        <v>1314</v>
      </c>
      <c r="E6" s="460"/>
      <c r="F6" s="1123"/>
      <c r="G6" s="459">
        <f t="shared" si="2"/>
        <v>0</v>
      </c>
      <c r="H6" s="460"/>
      <c r="I6" s="459" t="str">
        <f t="shared" si="0"/>
        <v/>
      </c>
      <c r="J6" s="459" t="str">
        <f t="shared" si="1"/>
        <v/>
      </c>
      <c r="K6" s="218"/>
      <c r="L6" s="328"/>
    </row>
    <row r="7" spans="1:12">
      <c r="A7" s="459" t="str">
        <f>Application!B721</f>
        <v>1 Bedroom</v>
      </c>
      <c r="B7" s="1121">
        <f>Application!G721</f>
        <v>12</v>
      </c>
      <c r="C7" s="1122" t="s">
        <v>301</v>
      </c>
      <c r="D7" s="459">
        <f>Application!O721</f>
        <v>840</v>
      </c>
      <c r="E7" s="460"/>
      <c r="F7" s="1123">
        <v>2248</v>
      </c>
      <c r="G7" s="459">
        <f t="shared" si="2"/>
        <v>26976</v>
      </c>
      <c r="H7" s="460"/>
      <c r="I7" s="459">
        <f t="shared" si="0"/>
        <v>1408</v>
      </c>
      <c r="J7" s="459">
        <f t="shared" si="1"/>
        <v>16896</v>
      </c>
      <c r="K7" s="218"/>
      <c r="L7" s="328"/>
    </row>
    <row r="8" spans="1:12">
      <c r="A8" s="459" t="str">
        <f>Application!B722</f>
        <v>1 Bedroom</v>
      </c>
      <c r="B8" s="1121">
        <f>Application!G722</f>
        <v>2</v>
      </c>
      <c r="C8" s="1122"/>
      <c r="D8" s="459">
        <f>Application!O722</f>
        <v>840</v>
      </c>
      <c r="E8" s="460"/>
      <c r="F8" s="1123">
        <v>2385</v>
      </c>
      <c r="G8" s="459">
        <f t="shared" si="2"/>
        <v>4770</v>
      </c>
      <c r="H8" s="460"/>
      <c r="I8" s="459">
        <f t="shared" si="0"/>
        <v>1545</v>
      </c>
      <c r="J8" s="459">
        <f t="shared" si="1"/>
        <v>3090</v>
      </c>
      <c r="K8" s="218"/>
      <c r="L8" s="328"/>
    </row>
    <row r="9" spans="1:12">
      <c r="A9" s="459" t="str">
        <f>Application!B723</f>
        <v>1 Bedroom</v>
      </c>
      <c r="B9" s="1121">
        <f>Application!G723</f>
        <v>4</v>
      </c>
      <c r="C9" s="1122"/>
      <c r="D9" s="459">
        <f>Application!O723</f>
        <v>1124</v>
      </c>
      <c r="E9" s="460"/>
      <c r="F9" s="1123"/>
      <c r="G9" s="459">
        <f t="shared" si="2"/>
        <v>0</v>
      </c>
      <c r="H9" s="460"/>
      <c r="I9" s="459" t="str">
        <f t="shared" si="0"/>
        <v/>
      </c>
      <c r="J9" s="459" t="str">
        <f t="shared" si="1"/>
        <v/>
      </c>
      <c r="K9" s="218"/>
      <c r="L9" s="328"/>
    </row>
    <row r="10" spans="1:12">
      <c r="A10" s="459" t="str">
        <f>Application!B724</f>
        <v>1 Bedroom</v>
      </c>
      <c r="B10" s="1121">
        <f>Application!G724</f>
        <v>12</v>
      </c>
      <c r="C10" s="1122"/>
      <c r="D10" s="459">
        <f>Application!O724</f>
        <v>1408</v>
      </c>
      <c r="E10" s="460"/>
      <c r="F10" s="1123"/>
      <c r="G10" s="459">
        <f t="shared" si="2"/>
        <v>0</v>
      </c>
      <c r="H10" s="460"/>
      <c r="I10" s="459" t="str">
        <f t="shared" si="0"/>
        <v/>
      </c>
      <c r="J10" s="459" t="str">
        <f t="shared" si="1"/>
        <v/>
      </c>
      <c r="K10" s="218"/>
      <c r="L10" s="328"/>
    </row>
    <row r="11" spans="1:12">
      <c r="A11" s="459" t="str">
        <f>Application!B725</f>
        <v>1 Bedroom</v>
      </c>
      <c r="B11" s="1121">
        <f>Application!G725</f>
        <v>8</v>
      </c>
      <c r="C11" s="1122"/>
      <c r="D11" s="459">
        <f>Application!O725</f>
        <v>2099</v>
      </c>
      <c r="E11" s="460"/>
      <c r="F11" s="1123"/>
      <c r="G11" s="459">
        <f t="shared" si="2"/>
        <v>0</v>
      </c>
      <c r="H11" s="460"/>
      <c r="I11" s="459" t="str">
        <f t="shared" si="0"/>
        <v/>
      </c>
      <c r="J11" s="459" t="str">
        <f t="shared" si="1"/>
        <v/>
      </c>
      <c r="K11" s="218"/>
      <c r="L11" s="328"/>
    </row>
    <row r="12" spans="1:12">
      <c r="A12" s="459" t="str">
        <f>Application!B726</f>
        <v>2 Bedrooms</v>
      </c>
      <c r="B12" s="1121">
        <f>Application!G726</f>
        <v>10</v>
      </c>
      <c r="C12" s="1122" t="s">
        <v>301</v>
      </c>
      <c r="D12" s="459">
        <f>Application!O726</f>
        <v>1011</v>
      </c>
      <c r="E12" s="460"/>
      <c r="F12" s="1123">
        <v>2833</v>
      </c>
      <c r="G12" s="459">
        <f t="shared" si="2"/>
        <v>28330</v>
      </c>
      <c r="H12" s="460"/>
      <c r="I12" s="459">
        <f t="shared" si="0"/>
        <v>1822</v>
      </c>
      <c r="J12" s="459">
        <f t="shared" si="1"/>
        <v>18220</v>
      </c>
      <c r="K12" s="218"/>
      <c r="L12" s="328"/>
    </row>
    <row r="13" spans="1:12">
      <c r="A13" s="459" t="str">
        <f>Application!B727</f>
        <v>2 Bedrooms</v>
      </c>
      <c r="B13" s="1121">
        <f>Application!G727</f>
        <v>14</v>
      </c>
      <c r="C13" s="1122"/>
      <c r="D13" s="459">
        <f>Application!O727</f>
        <v>1352</v>
      </c>
      <c r="E13" s="460"/>
      <c r="F13" s="1123"/>
      <c r="G13" s="459">
        <f t="shared" si="2"/>
        <v>0</v>
      </c>
      <c r="H13" s="460"/>
      <c r="I13" s="459" t="str">
        <f t="shared" si="0"/>
        <v/>
      </c>
      <c r="J13" s="459" t="str">
        <f t="shared" si="1"/>
        <v/>
      </c>
      <c r="K13" s="218"/>
      <c r="L13" s="328"/>
    </row>
    <row r="14" spans="1:12">
      <c r="A14" s="459" t="str">
        <f>Application!B728</f>
        <v>2 Bedrooms</v>
      </c>
      <c r="B14" s="1121">
        <f>Application!G728</f>
        <v>4</v>
      </c>
      <c r="C14" s="1122"/>
      <c r="D14" s="459">
        <f>Application!O728</f>
        <v>1693</v>
      </c>
      <c r="E14" s="460"/>
      <c r="F14" s="1123"/>
      <c r="G14" s="459">
        <f t="shared" si="2"/>
        <v>0</v>
      </c>
      <c r="H14" s="460"/>
      <c r="I14" s="459" t="str">
        <f t="shared" si="0"/>
        <v/>
      </c>
      <c r="J14" s="459" t="str">
        <f t="shared" si="1"/>
        <v/>
      </c>
      <c r="K14" s="218"/>
      <c r="L14" s="328"/>
    </row>
    <row r="15" spans="1:12">
      <c r="A15" s="459" t="str">
        <f>Application!B729</f>
        <v>2 Bedrooms</v>
      </c>
      <c r="B15" s="1121">
        <f>Application!G729</f>
        <v>4</v>
      </c>
      <c r="C15" s="1122"/>
      <c r="D15" s="459">
        <f>Application!O729</f>
        <v>2034</v>
      </c>
      <c r="E15" s="460"/>
      <c r="F15" s="1123"/>
      <c r="G15" s="459">
        <f t="shared" si="2"/>
        <v>0</v>
      </c>
      <c r="H15" s="460"/>
      <c r="I15" s="459" t="str">
        <f t="shared" si="0"/>
        <v/>
      </c>
      <c r="J15" s="459" t="str">
        <f t="shared" si="1"/>
        <v/>
      </c>
      <c r="K15" s="218"/>
      <c r="L15" s="328"/>
    </row>
    <row r="16" spans="1:12">
      <c r="A16" s="459" t="str">
        <f>Application!B730</f>
        <v>2 Bedrooms</v>
      </c>
      <c r="B16" s="1121">
        <f>Application!G730</f>
        <v>10</v>
      </c>
      <c r="C16" s="1122"/>
      <c r="D16" s="459">
        <f>Application!O730</f>
        <v>2650</v>
      </c>
      <c r="E16" s="460"/>
      <c r="F16" s="1123"/>
      <c r="G16" s="459">
        <f t="shared" si="2"/>
        <v>0</v>
      </c>
      <c r="H16" s="460"/>
      <c r="I16" s="459" t="str">
        <f t="shared" si="0"/>
        <v/>
      </c>
      <c r="J16" s="459" t="str">
        <f t="shared" si="1"/>
        <v/>
      </c>
      <c r="K16" s="218"/>
      <c r="L16" s="328"/>
    </row>
    <row r="17" spans="1:12">
      <c r="A17" s="459" t="str">
        <f>Application!B731</f>
        <v>3 Bedrooms</v>
      </c>
      <c r="B17" s="1121">
        <f>Application!G731</f>
        <v>1</v>
      </c>
      <c r="C17" s="1122"/>
      <c r="D17" s="459">
        <f>Application!O731</f>
        <v>1170</v>
      </c>
      <c r="E17" s="460"/>
      <c r="F17" s="1123"/>
      <c r="G17" s="459">
        <f t="shared" si="2"/>
        <v>0</v>
      </c>
      <c r="H17" s="460"/>
      <c r="I17" s="459" t="str">
        <f t="shared" si="0"/>
        <v/>
      </c>
      <c r="J17" s="459" t="str">
        <f t="shared" si="1"/>
        <v/>
      </c>
      <c r="K17" s="218"/>
      <c r="L17" s="328"/>
    </row>
    <row r="18" spans="1:12">
      <c r="A18" s="459" t="str">
        <f>Application!B732</f>
        <v>3 Bedrooms</v>
      </c>
      <c r="B18" s="1121">
        <f>Application!G732</f>
        <v>4</v>
      </c>
      <c r="C18" s="1122" t="s">
        <v>301</v>
      </c>
      <c r="D18" s="459">
        <f>Application!O732</f>
        <v>1170</v>
      </c>
      <c r="E18" s="460"/>
      <c r="F18" s="1123">
        <v>3819</v>
      </c>
      <c r="G18" s="459">
        <f t="shared" si="2"/>
        <v>15276</v>
      </c>
      <c r="H18" s="460"/>
      <c r="I18" s="459">
        <f t="shared" si="0"/>
        <v>2649</v>
      </c>
      <c r="J18" s="459">
        <f t="shared" si="1"/>
        <v>10596</v>
      </c>
      <c r="K18" s="218"/>
      <c r="L18" s="328"/>
    </row>
    <row r="19" spans="1:12">
      <c r="A19" s="459" t="str">
        <f>Application!B733</f>
        <v>3 Bedrooms</v>
      </c>
      <c r="B19" s="1121">
        <f>Application!G733</f>
        <v>7</v>
      </c>
      <c r="C19" s="1122"/>
      <c r="D19" s="459">
        <f>Application!O733</f>
        <v>1564</v>
      </c>
      <c r="E19" s="460"/>
      <c r="F19" s="1123"/>
      <c r="G19" s="459">
        <f t="shared" si="2"/>
        <v>0</v>
      </c>
      <c r="H19" s="460"/>
      <c r="I19" s="459" t="str">
        <f t="shared" si="0"/>
        <v/>
      </c>
      <c r="J19" s="459" t="str">
        <f t="shared" si="1"/>
        <v/>
      </c>
      <c r="K19" s="218"/>
      <c r="L19" s="328"/>
    </row>
    <row r="20" spans="1:12">
      <c r="A20" s="459" t="str">
        <f>Application!B734</f>
        <v>3 Bedrooms</v>
      </c>
      <c r="B20" s="1121">
        <f>Application!G734</f>
        <v>4</v>
      </c>
      <c r="C20" s="1122"/>
      <c r="D20" s="459">
        <f>Application!O734</f>
        <v>1958</v>
      </c>
      <c r="E20" s="460"/>
      <c r="F20" s="1123"/>
      <c r="G20" s="459">
        <f t="shared" si="2"/>
        <v>0</v>
      </c>
      <c r="H20" s="460"/>
      <c r="I20" s="459" t="str">
        <f t="shared" si="0"/>
        <v/>
      </c>
      <c r="J20" s="459" t="str">
        <f t="shared" si="1"/>
        <v/>
      </c>
      <c r="K20" s="218"/>
      <c r="L20" s="328"/>
    </row>
    <row r="21" spans="1:12">
      <c r="A21" s="459" t="str">
        <f>Application!B735</f>
        <v>3 Bedrooms</v>
      </c>
      <c r="B21" s="1121">
        <f>Application!G735</f>
        <v>16</v>
      </c>
      <c r="C21" s="1122"/>
      <c r="D21" s="459">
        <f>Application!O735</f>
        <v>2352</v>
      </c>
      <c r="E21" s="460"/>
      <c r="F21" s="1123"/>
      <c r="G21" s="459">
        <f t="shared" si="2"/>
        <v>0</v>
      </c>
      <c r="H21" s="460"/>
      <c r="I21" s="459" t="str">
        <f t="shared" si="0"/>
        <v/>
      </c>
      <c r="J21" s="459" t="str">
        <f t="shared" si="1"/>
        <v/>
      </c>
      <c r="K21" s="218"/>
      <c r="L21" s="328"/>
    </row>
    <row r="22" spans="1:12">
      <c r="A22" s="459" t="str">
        <f>Application!B736</f>
        <v>3 Bedrooms</v>
      </c>
      <c r="B22" s="1121">
        <f>Application!G736</f>
        <v>9</v>
      </c>
      <c r="C22" s="1122"/>
      <c r="D22" s="459">
        <f>Application!O736</f>
        <v>2750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933</v>
      </c>
      <c r="B40" s="462"/>
      <c r="C40" s="462"/>
      <c r="D40" s="463">
        <f>Application!O753</f>
        <v>234159</v>
      </c>
      <c r="E40" s="460"/>
      <c r="F40" s="460"/>
      <c r="G40" s="463">
        <f>SUM(G4:G38)*12</f>
        <v>1128288</v>
      </c>
      <c r="H40" s="464"/>
      <c r="I40" s="462"/>
      <c r="J40" s="463">
        <f>SUM(J4:J38)*12</f>
        <v>725124</v>
      </c>
      <c r="K40" s="218"/>
      <c r="L40" s="329"/>
    </row>
    <row r="41" spans="1:12" ht="15">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2419</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2"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43" workbookViewId="0">
      <selection activeCell="C41" sqref="C41"/>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2410</v>
      </c>
      <c r="B1" s="226"/>
    </row>
    <row r="2" spans="1:34"/>
    <row r="3" spans="1:34" ht="15.75">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4.25">
      <c r="A4" s="235" t="s">
        <v>849</v>
      </c>
      <c r="C4" s="253">
        <v>1.0249999999999999</v>
      </c>
      <c r="E4" s="235">
        <f>Application!Y801</f>
        <v>2809908</v>
      </c>
      <c r="G4" s="235">
        <f>E4*$C$4</f>
        <v>2880155.6999999997</v>
      </c>
      <c r="I4" s="235">
        <f>G4*$C$4</f>
        <v>2952159.5924999993</v>
      </c>
      <c r="K4" s="235">
        <f>I4*$C$4</f>
        <v>3025963.5823124992</v>
      </c>
      <c r="M4" s="235">
        <f>K4*$C$4</f>
        <v>3101612.6718703113</v>
      </c>
      <c r="O4" s="235">
        <f>M4*$C$4</f>
        <v>3179152.9886670685</v>
      </c>
      <c r="Q4" s="235">
        <f>O4*$C$4</f>
        <v>3258631.813383745</v>
      </c>
      <c r="S4" s="235">
        <f>Q4*$C$4</f>
        <v>3340097.6087183384</v>
      </c>
      <c r="U4" s="235">
        <f>S4*$C$4</f>
        <v>3423600.0489362967</v>
      </c>
      <c r="W4" s="235">
        <f>U4*$C$4</f>
        <v>3509190.0501597039</v>
      </c>
      <c r="Y4" s="235">
        <f>W4*$C$4</f>
        <v>3596919.8014136963</v>
      </c>
      <c r="AA4" s="235">
        <f>Y4*$C$4</f>
        <v>3686842.7964490382</v>
      </c>
      <c r="AC4" s="235">
        <f>AA4*$C$4</f>
        <v>3779013.8663602639</v>
      </c>
      <c r="AE4" s="235">
        <f>AC4*$C$4</f>
        <v>3873489.21301927</v>
      </c>
      <c r="AG4" s="235">
        <f>AE4*$C$4</f>
        <v>3970326.4433447514</v>
      </c>
    </row>
    <row r="5" spans="1:34" s="225" customFormat="1" ht="14.25">
      <c r="B5" s="225" t="s">
        <v>850</v>
      </c>
      <c r="C5" s="254">
        <f>IF(Application!$D$211="Special Needs",0.1,0.05)</f>
        <v>0.05</v>
      </c>
      <c r="E5" s="237">
        <f>-E4*$C$5</f>
        <v>-140495.4</v>
      </c>
      <c r="F5" s="237"/>
      <c r="G5" s="237">
        <f>-G4*$C$5</f>
        <v>-144007.785</v>
      </c>
      <c r="H5" s="237"/>
      <c r="I5" s="237">
        <f>-I4*$C$5</f>
        <v>-147607.97962499998</v>
      </c>
      <c r="J5" s="237"/>
      <c r="K5" s="237">
        <f>-K4*$C$5</f>
        <v>-151298.17911562495</v>
      </c>
      <c r="L5" s="237"/>
      <c r="M5" s="237">
        <f>-M4*$C$5</f>
        <v>-155080.63359351558</v>
      </c>
      <c r="N5" s="237"/>
      <c r="O5" s="237">
        <f>-O4*$C$5</f>
        <v>-158957.64943335345</v>
      </c>
      <c r="P5" s="237"/>
      <c r="Q5" s="237">
        <f>-Q4*$C$5</f>
        <v>-162931.59066918725</v>
      </c>
      <c r="R5" s="237"/>
      <c r="S5" s="237">
        <f>-S4*$C$5</f>
        <v>-167004.88043591694</v>
      </c>
      <c r="T5" s="237"/>
      <c r="U5" s="237">
        <f>-U4*$C$5</f>
        <v>-171180.00244681485</v>
      </c>
      <c r="V5" s="237"/>
      <c r="W5" s="237">
        <f>-W4*$C$5</f>
        <v>-175459.50250798522</v>
      </c>
      <c r="X5" s="237"/>
      <c r="Y5" s="237">
        <f>-Y4*$C$5</f>
        <v>-179845.99007068481</v>
      </c>
      <c r="Z5" s="237"/>
      <c r="AA5" s="237">
        <f>-AA4*$C$5</f>
        <v>-184342.13982245192</v>
      </c>
      <c r="AB5" s="237"/>
      <c r="AC5" s="237">
        <f>-AC4*$C$5</f>
        <v>-188950.69331801322</v>
      </c>
      <c r="AD5" s="237"/>
      <c r="AE5" s="237">
        <f>-AE4*$C$5</f>
        <v>-193674.46065096351</v>
      </c>
      <c r="AF5" s="237"/>
      <c r="AG5" s="237">
        <f>-AG4*$C$5</f>
        <v>-198516.32216723758</v>
      </c>
    </row>
    <row r="6" spans="1:34" s="225" customFormat="1" ht="14.25">
      <c r="A6" s="225" t="s">
        <v>848</v>
      </c>
      <c r="C6" s="253">
        <v>1.0249999999999999</v>
      </c>
      <c r="E6" s="238">
        <f>Application!Z809</f>
        <v>725124</v>
      </c>
      <c r="F6" s="238"/>
      <c r="G6" s="238">
        <f>E6*$C$6</f>
        <v>743252.1</v>
      </c>
      <c r="H6" s="238"/>
      <c r="I6" s="238">
        <f>G6*$C$6</f>
        <v>761833.40249999997</v>
      </c>
      <c r="J6" s="238"/>
      <c r="K6" s="238">
        <f>I6*$C$6</f>
        <v>780879.23756249994</v>
      </c>
      <c r="L6" s="238"/>
      <c r="M6" s="238">
        <f>K6*$C$6</f>
        <v>800401.21850156237</v>
      </c>
      <c r="N6" s="238"/>
      <c r="O6" s="238">
        <f>M6*$C$6</f>
        <v>820411.24896410131</v>
      </c>
      <c r="P6" s="238"/>
      <c r="Q6" s="238">
        <f>O6*$C$6</f>
        <v>840921.53018820379</v>
      </c>
      <c r="R6" s="238"/>
      <c r="S6" s="238">
        <f>Q6*$C$6</f>
        <v>861944.56844290881</v>
      </c>
      <c r="T6" s="238"/>
      <c r="U6" s="238">
        <f>S6*$C$6</f>
        <v>883493.18265398149</v>
      </c>
      <c r="V6" s="238"/>
      <c r="W6" s="238">
        <f>U6*$C$6</f>
        <v>905580.512220331</v>
      </c>
      <c r="X6" s="238"/>
      <c r="Y6" s="238">
        <f>W6*$C$6</f>
        <v>928220.02502583922</v>
      </c>
      <c r="Z6" s="238"/>
      <c r="AA6" s="238">
        <f>Y6*$C$6</f>
        <v>951425.52565148508</v>
      </c>
      <c r="AB6" s="238"/>
      <c r="AC6" s="238">
        <f>AA6*$C$6</f>
        <v>975211.1637927721</v>
      </c>
      <c r="AD6" s="238"/>
      <c r="AE6" s="238">
        <f>AC6*$C$6</f>
        <v>999591.44288759131</v>
      </c>
      <c r="AF6" s="238"/>
      <c r="AG6" s="238">
        <f>AE6*$C$6</f>
        <v>1024581.228959781</v>
      </c>
    </row>
    <row r="7" spans="1:34" s="225" customFormat="1" ht="14.25">
      <c r="B7" s="225" t="s">
        <v>850</v>
      </c>
      <c r="C7" s="254">
        <f>IF(Application!$D$211="Special Needs",0.1,0.05)</f>
        <v>0.05</v>
      </c>
      <c r="E7" s="237">
        <f>-E6*$C$7</f>
        <v>-36256.200000000004</v>
      </c>
      <c r="F7" s="237"/>
      <c r="G7" s="237">
        <f>-G6*$C$7</f>
        <v>-37162.605000000003</v>
      </c>
      <c r="H7" s="237"/>
      <c r="I7" s="237">
        <f>-I6*$C$7</f>
        <v>-38091.670124999997</v>
      </c>
      <c r="J7" s="237"/>
      <c r="K7" s="237">
        <f>-K6*$C$7</f>
        <v>-39043.961878124996</v>
      </c>
      <c r="L7" s="237"/>
      <c r="M7" s="237">
        <f>-M6*$C$7</f>
        <v>-40020.06092507812</v>
      </c>
      <c r="N7" s="237"/>
      <c r="O7" s="237">
        <f>-O6*$C$7</f>
        <v>-41020.56244820507</v>
      </c>
      <c r="P7" s="237"/>
      <c r="Q7" s="237">
        <f>-Q6*$C$7</f>
        <v>-42046.076509410195</v>
      </c>
      <c r="R7" s="237"/>
      <c r="S7" s="237">
        <f>-S6*$C$7</f>
        <v>-43097.228422145447</v>
      </c>
      <c r="T7" s="237"/>
      <c r="U7" s="237">
        <f>-U6*$C$7</f>
        <v>-44174.659132699075</v>
      </c>
      <c r="V7" s="237"/>
      <c r="W7" s="237">
        <f>-W6*$C$7</f>
        <v>-45279.02561101655</v>
      </c>
      <c r="X7" s="237"/>
      <c r="Y7" s="237">
        <f>-Y6*$C$7</f>
        <v>-46411.001251291964</v>
      </c>
      <c r="Z7" s="237"/>
      <c r="AA7" s="237">
        <f>-AA6*$C$7</f>
        <v>-47571.276282574254</v>
      </c>
      <c r="AB7" s="237"/>
      <c r="AC7" s="237">
        <f>-AC6*$C$7</f>
        <v>-48760.558189638607</v>
      </c>
      <c r="AD7" s="237"/>
      <c r="AE7" s="237">
        <f>-AE6*$C$7</f>
        <v>-49979.57214437957</v>
      </c>
      <c r="AF7" s="237"/>
      <c r="AG7" s="237">
        <f>-AG6*$C$7</f>
        <v>-51229.06144798905</v>
      </c>
    </row>
    <row r="8" spans="1:34" s="225" customFormat="1" ht="14.25">
      <c r="A8" s="225" t="s">
        <v>289</v>
      </c>
      <c r="C8" s="253">
        <v>1.0249999999999999</v>
      </c>
      <c r="E8" s="238">
        <f>Application!Z817</f>
        <v>17400</v>
      </c>
      <c r="F8" s="238"/>
      <c r="G8" s="238">
        <f>E8*$C$8</f>
        <v>17835</v>
      </c>
      <c r="H8" s="238"/>
      <c r="I8" s="238">
        <f>G8*$C$8</f>
        <v>18280.875</v>
      </c>
      <c r="J8" s="238"/>
      <c r="K8" s="238">
        <f>I8*$C$8</f>
        <v>18737.896874999999</v>
      </c>
      <c r="L8" s="238"/>
      <c r="M8" s="238">
        <f>K8*$C$8</f>
        <v>19206.344296874995</v>
      </c>
      <c r="N8" s="238"/>
      <c r="O8" s="238">
        <f>M8*$C$8</f>
        <v>19686.502904296867</v>
      </c>
      <c r="P8" s="238"/>
      <c r="Q8" s="238">
        <f>O8*$C$8</f>
        <v>20178.665476904287</v>
      </c>
      <c r="R8" s="238"/>
      <c r="S8" s="238">
        <f>Q8*$C$8</f>
        <v>20683.132113826894</v>
      </c>
      <c r="T8" s="238"/>
      <c r="U8" s="238">
        <f>S8*$C$8</f>
        <v>21200.210416672566</v>
      </c>
      <c r="V8" s="238"/>
      <c r="W8" s="238">
        <f>U8*$C$8</f>
        <v>21730.215677089378</v>
      </c>
      <c r="X8" s="238"/>
      <c r="Y8" s="238">
        <f>W8*$C$8</f>
        <v>22273.47106901661</v>
      </c>
      <c r="Z8" s="238"/>
      <c r="AA8" s="238">
        <f>Y8*$C$8</f>
        <v>22830.307845742023</v>
      </c>
      <c r="AB8" s="238"/>
      <c r="AC8" s="238">
        <f>AA8*$C$8</f>
        <v>23401.065541885571</v>
      </c>
      <c r="AD8" s="238"/>
      <c r="AE8" s="238">
        <f>AC8*$C$8</f>
        <v>23986.092180432708</v>
      </c>
      <c r="AF8" s="238"/>
      <c r="AG8" s="238">
        <f>AE8*$C$8</f>
        <v>24585.744484943523</v>
      </c>
    </row>
    <row r="9" spans="1:34" s="225" customFormat="1" ht="14.25">
      <c r="B9" s="225" t="s">
        <v>850</v>
      </c>
      <c r="C9" s="254">
        <f>IF(Application!$D$211="Special Needs",0.1,0.05)</f>
        <v>0.05</v>
      </c>
      <c r="E9" s="237">
        <f>-E8*$C$9</f>
        <v>-870</v>
      </c>
      <c r="F9" s="237"/>
      <c r="G9" s="237">
        <f>-G8*$C$9</f>
        <v>-891.75</v>
      </c>
      <c r="H9" s="237"/>
      <c r="I9" s="237">
        <f>-I8*$C$9</f>
        <v>-914.04375000000005</v>
      </c>
      <c r="J9" s="237"/>
      <c r="K9" s="237">
        <f>-K8*$C$9</f>
        <v>-936.89484374999995</v>
      </c>
      <c r="L9" s="237"/>
      <c r="M9" s="237">
        <f>-M8*$C$9</f>
        <v>-960.31721484374975</v>
      </c>
      <c r="N9" s="237"/>
      <c r="O9" s="237">
        <f>-O8*$C$9</f>
        <v>-984.32514521484336</v>
      </c>
      <c r="P9" s="237"/>
      <c r="Q9" s="237">
        <f>-Q8*$C$9</f>
        <v>-1008.9332738452144</v>
      </c>
      <c r="R9" s="237"/>
      <c r="S9" s="237">
        <f>-S8*$C$9</f>
        <v>-1034.1566056913448</v>
      </c>
      <c r="T9" s="237"/>
      <c r="U9" s="237">
        <f>-U8*$C$9</f>
        <v>-1060.0105208336283</v>
      </c>
      <c r="V9" s="237"/>
      <c r="W9" s="237">
        <f>-W8*$C$9</f>
        <v>-1086.5107838544689</v>
      </c>
      <c r="X9" s="237"/>
      <c r="Y9" s="237">
        <f>-Y8*$C$9</f>
        <v>-1113.6735534508305</v>
      </c>
      <c r="Z9" s="237"/>
      <c r="AA9" s="237">
        <f>-AA8*$C$9</f>
        <v>-1141.5153922871011</v>
      </c>
      <c r="AB9" s="237"/>
      <c r="AC9" s="237">
        <f>-AC8*$C$9</f>
        <v>-1170.0532770942787</v>
      </c>
      <c r="AD9" s="237"/>
      <c r="AE9" s="237">
        <f>-AE8*$C$9</f>
        <v>-1199.3046090216355</v>
      </c>
      <c r="AF9" s="237"/>
      <c r="AG9" s="237">
        <f>-AG8*$C$9</f>
        <v>-1229.2872242471763</v>
      </c>
    </row>
    <row r="10" spans="1:34" s="225" customFormat="1" ht="14.25">
      <c r="A10" s="1187" t="s">
        <v>2631</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871</v>
      </c>
      <c r="C11" s="231"/>
      <c r="E11" s="239">
        <f>SUM(E4:E10)</f>
        <v>3374810.4</v>
      </c>
      <c r="G11" s="239">
        <f>SUM(G4:G10)</f>
        <v>3459180.6599999997</v>
      </c>
      <c r="I11" s="239">
        <f>SUM(I4:I10)</f>
        <v>3545660.1764999987</v>
      </c>
      <c r="K11" s="239">
        <f>SUM(K4:K10)</f>
        <v>3634301.6809124989</v>
      </c>
      <c r="M11" s="239">
        <f>SUM(M4:M10)</f>
        <v>3725159.222935311</v>
      </c>
      <c r="O11" s="239">
        <f>SUM(O4:O10)</f>
        <v>3818288.2035086933</v>
      </c>
      <c r="Q11" s="239">
        <f>SUM(Q4:Q10)</f>
        <v>3913745.4085964104</v>
      </c>
      <c r="S11" s="239">
        <f>SUM(S4:S10)</f>
        <v>4011589.0438113203</v>
      </c>
      <c r="U11" s="239">
        <f>SUM(U4:U10)</f>
        <v>4111878.7699066033</v>
      </c>
      <c r="W11" s="239">
        <f>SUM(W4:W10)</f>
        <v>4214675.7391542681</v>
      </c>
      <c r="Y11" s="239">
        <f>SUM(Y4:Y10)</f>
        <v>4320042.6326331235</v>
      </c>
      <c r="AA11" s="239">
        <f>SUM(AA4:AA10)</f>
        <v>4428043.6984489532</v>
      </c>
      <c r="AC11" s="239">
        <f>SUM(AC4:AC10)</f>
        <v>4538744.790910176</v>
      </c>
      <c r="AE11" s="239">
        <f>SUM(AE4:AE10)</f>
        <v>4652213.4106829297</v>
      </c>
      <c r="AG11" s="239">
        <f>SUM(AG4:AG10)</f>
        <v>4768518.7459500013</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853</v>
      </c>
      <c r="C15" s="185"/>
      <c r="E15" s="235">
        <f>Application!W847</f>
        <v>126000</v>
      </c>
      <c r="G15" s="235">
        <f>E15*$C$14</f>
        <v>130409.99999999999</v>
      </c>
      <c r="I15" s="235">
        <f>G15*$C$14</f>
        <v>134974.34999999998</v>
      </c>
      <c r="K15" s="235">
        <f>I15*$C$14</f>
        <v>139698.45224999997</v>
      </c>
      <c r="M15" s="235">
        <f>K15*$C$14</f>
        <v>144587.89807874997</v>
      </c>
      <c r="O15" s="235">
        <f>M15*$C$14</f>
        <v>149648.47451150621</v>
      </c>
      <c r="Q15" s="235">
        <f>O15*$C$14</f>
        <v>154886.17111940891</v>
      </c>
      <c r="S15" s="235">
        <f>Q15*$C$14</f>
        <v>160307.1871085882</v>
      </c>
      <c r="U15" s="235">
        <f>S15*$C$14</f>
        <v>165917.93865738879</v>
      </c>
      <c r="W15" s="235">
        <f>U15*$C$14</f>
        <v>171725.06651039739</v>
      </c>
      <c r="Y15" s="235">
        <f>W15*$C$14</f>
        <v>177735.44383826127</v>
      </c>
      <c r="AA15" s="235">
        <f>Y15*$C$14</f>
        <v>183956.1843726004</v>
      </c>
      <c r="AC15" s="235">
        <f>AA15*$C$14</f>
        <v>190394.65082564141</v>
      </c>
      <c r="AE15" s="235">
        <f>AC15*$C$14</f>
        <v>197058.46360453885</v>
      </c>
      <c r="AG15" s="235">
        <f>AE15*$C$14</f>
        <v>203955.5098306977</v>
      </c>
    </row>
    <row r="16" spans="1:34" s="225" customFormat="1" ht="14.25">
      <c r="A16" s="225" t="s">
        <v>345</v>
      </c>
      <c r="C16" s="249"/>
      <c r="E16" s="238">
        <f>Application!W849</f>
        <v>105840</v>
      </c>
      <c r="F16" s="238"/>
      <c r="G16" s="238">
        <f t="shared" ref="G16:AG21" si="0">E16*$C$14</f>
        <v>109544.4</v>
      </c>
      <c r="H16" s="238"/>
      <c r="I16" s="238">
        <f t="shared" si="0"/>
        <v>113378.45399999998</v>
      </c>
      <c r="J16" s="238"/>
      <c r="K16" s="238">
        <f t="shared" si="0"/>
        <v>117346.69988999997</v>
      </c>
      <c r="L16" s="238"/>
      <c r="M16" s="238">
        <f t="shared" si="0"/>
        <v>121453.83438614996</v>
      </c>
      <c r="N16" s="238"/>
      <c r="O16" s="238">
        <f t="shared" si="0"/>
        <v>125704.71858966519</v>
      </c>
      <c r="P16" s="238"/>
      <c r="Q16" s="238">
        <f t="shared" si="0"/>
        <v>130104.38374030347</v>
      </c>
      <c r="R16" s="238"/>
      <c r="S16" s="238">
        <f t="shared" si="0"/>
        <v>134658.03717121409</v>
      </c>
      <c r="T16" s="238"/>
      <c r="U16" s="238">
        <f t="shared" si="0"/>
        <v>139371.06847220656</v>
      </c>
      <c r="V16" s="238"/>
      <c r="W16" s="238">
        <f t="shared" si="0"/>
        <v>144249.05586873379</v>
      </c>
      <c r="X16" s="238"/>
      <c r="Y16" s="238">
        <f t="shared" si="0"/>
        <v>149297.77282413945</v>
      </c>
      <c r="Z16" s="238"/>
      <c r="AA16" s="238">
        <f t="shared" si="0"/>
        <v>154523.19487298431</v>
      </c>
      <c r="AB16" s="238"/>
      <c r="AC16" s="238">
        <f t="shared" si="0"/>
        <v>159931.50669353874</v>
      </c>
      <c r="AD16" s="238"/>
      <c r="AE16" s="238">
        <f t="shared" si="0"/>
        <v>165529.1094278126</v>
      </c>
      <c r="AF16" s="238"/>
      <c r="AG16" s="238">
        <f t="shared" si="0"/>
        <v>171322.62825778601</v>
      </c>
    </row>
    <row r="17" spans="1:33" s="225" customFormat="1" ht="14.25">
      <c r="A17" s="225" t="s">
        <v>570</v>
      </c>
      <c r="C17" s="249"/>
      <c r="E17" s="238">
        <f>Application!W855</f>
        <v>255000</v>
      </c>
      <c r="F17" s="238"/>
      <c r="G17" s="238">
        <f t="shared" si="0"/>
        <v>263925</v>
      </c>
      <c r="H17" s="238"/>
      <c r="I17" s="238">
        <f t="shared" si="0"/>
        <v>273162.375</v>
      </c>
      <c r="J17" s="238"/>
      <c r="K17" s="238">
        <f t="shared" si="0"/>
        <v>282723.05812499998</v>
      </c>
      <c r="L17" s="238"/>
      <c r="M17" s="238">
        <f t="shared" si="0"/>
        <v>292618.36515937495</v>
      </c>
      <c r="N17" s="238"/>
      <c r="O17" s="238">
        <f t="shared" si="0"/>
        <v>302860.00793995307</v>
      </c>
      <c r="P17" s="238"/>
      <c r="Q17" s="238">
        <f t="shared" si="0"/>
        <v>313460.10821785138</v>
      </c>
      <c r="R17" s="238"/>
      <c r="S17" s="238">
        <f t="shared" si="0"/>
        <v>324431.21200547618</v>
      </c>
      <c r="T17" s="238"/>
      <c r="U17" s="238">
        <f t="shared" si="0"/>
        <v>335786.3044256678</v>
      </c>
      <c r="V17" s="238"/>
      <c r="W17" s="238">
        <f t="shared" si="0"/>
        <v>347538.82508056617</v>
      </c>
      <c r="X17" s="238"/>
      <c r="Y17" s="238">
        <f t="shared" si="0"/>
        <v>359702.68395838595</v>
      </c>
      <c r="Z17" s="238"/>
      <c r="AA17" s="238">
        <f t="shared" si="0"/>
        <v>372292.27789692942</v>
      </c>
      <c r="AB17" s="238"/>
      <c r="AC17" s="238">
        <f t="shared" si="0"/>
        <v>385322.5076233219</v>
      </c>
      <c r="AD17" s="238"/>
      <c r="AE17" s="238">
        <f t="shared" si="0"/>
        <v>398808.79539013811</v>
      </c>
      <c r="AF17" s="238"/>
      <c r="AG17" s="238">
        <f t="shared" si="0"/>
        <v>412767.1032287929</v>
      </c>
    </row>
    <row r="18" spans="1:33" s="225" customFormat="1" ht="14.25">
      <c r="A18" s="225" t="s">
        <v>854</v>
      </c>
      <c r="C18" s="249"/>
      <c r="E18" s="238">
        <f>Application!W862</f>
        <v>260832</v>
      </c>
      <c r="F18" s="238"/>
      <c r="G18" s="238">
        <f t="shared" si="0"/>
        <v>269961.12</v>
      </c>
      <c r="H18" s="238"/>
      <c r="I18" s="238">
        <f t="shared" si="0"/>
        <v>279409.75919999997</v>
      </c>
      <c r="J18" s="238"/>
      <c r="K18" s="238">
        <f t="shared" si="0"/>
        <v>289189.10077199998</v>
      </c>
      <c r="L18" s="238"/>
      <c r="M18" s="238">
        <f t="shared" si="0"/>
        <v>299310.71929901995</v>
      </c>
      <c r="N18" s="238"/>
      <c r="O18" s="238">
        <f t="shared" si="0"/>
        <v>309786.59447448561</v>
      </c>
      <c r="P18" s="238"/>
      <c r="Q18" s="238">
        <f t="shared" si="0"/>
        <v>320629.12528109259</v>
      </c>
      <c r="R18" s="238"/>
      <c r="S18" s="238">
        <f t="shared" si="0"/>
        <v>331851.14466593083</v>
      </c>
      <c r="T18" s="238"/>
      <c r="U18" s="238">
        <f t="shared" si="0"/>
        <v>343465.93472923839</v>
      </c>
      <c r="V18" s="238"/>
      <c r="W18" s="238">
        <f t="shared" si="0"/>
        <v>355487.24244476168</v>
      </c>
      <c r="X18" s="238"/>
      <c r="Y18" s="238">
        <f t="shared" si="0"/>
        <v>367929.29593032831</v>
      </c>
      <c r="Z18" s="238"/>
      <c r="AA18" s="238">
        <f t="shared" si="0"/>
        <v>380806.82128788979</v>
      </c>
      <c r="AB18" s="238"/>
      <c r="AC18" s="238">
        <f t="shared" si="0"/>
        <v>394135.06003296591</v>
      </c>
      <c r="AD18" s="238"/>
      <c r="AE18" s="238">
        <f t="shared" si="0"/>
        <v>407929.78713411966</v>
      </c>
      <c r="AF18" s="238"/>
      <c r="AG18" s="238">
        <f t="shared" si="0"/>
        <v>422207.32968381379</v>
      </c>
    </row>
    <row r="19" spans="1:33" s="225" customFormat="1" ht="14.25">
      <c r="A19" s="225" t="s">
        <v>155</v>
      </c>
      <c r="C19" s="249"/>
      <c r="E19" s="238">
        <f>Application!W863</f>
        <v>80000</v>
      </c>
      <c r="F19" s="238"/>
      <c r="G19" s="238">
        <f t="shared" si="0"/>
        <v>82800</v>
      </c>
      <c r="H19" s="238"/>
      <c r="I19" s="238">
        <f t="shared" si="0"/>
        <v>85698</v>
      </c>
      <c r="J19" s="238"/>
      <c r="K19" s="238">
        <f t="shared" si="0"/>
        <v>88697.43</v>
      </c>
      <c r="L19" s="238"/>
      <c r="M19" s="238">
        <f t="shared" si="0"/>
        <v>91801.840049999984</v>
      </c>
      <c r="N19" s="238"/>
      <c r="O19" s="238">
        <f t="shared" si="0"/>
        <v>95014.904451749971</v>
      </c>
      <c r="P19" s="238"/>
      <c r="Q19" s="238">
        <f t="shared" si="0"/>
        <v>98340.426107561216</v>
      </c>
      <c r="R19" s="238"/>
      <c r="S19" s="238">
        <f t="shared" si="0"/>
        <v>101782.34102132585</v>
      </c>
      <c r="T19" s="238"/>
      <c r="U19" s="238">
        <f t="shared" si="0"/>
        <v>105344.72295707224</v>
      </c>
      <c r="V19" s="238"/>
      <c r="W19" s="238">
        <f t="shared" si="0"/>
        <v>109031.78826056977</v>
      </c>
      <c r="X19" s="238"/>
      <c r="Y19" s="238">
        <f t="shared" si="0"/>
        <v>112847.9008496897</v>
      </c>
      <c r="Z19" s="238"/>
      <c r="AA19" s="238">
        <f t="shared" si="0"/>
        <v>116797.57737942883</v>
      </c>
      <c r="AB19" s="238"/>
      <c r="AC19" s="238">
        <f t="shared" si="0"/>
        <v>120885.49258770882</v>
      </c>
      <c r="AD19" s="238"/>
      <c r="AE19" s="238">
        <f t="shared" si="0"/>
        <v>125116.48482827863</v>
      </c>
      <c r="AF19" s="238"/>
      <c r="AG19" s="238">
        <f t="shared" si="0"/>
        <v>129495.56179726837</v>
      </c>
    </row>
    <row r="20" spans="1:33" s="225" customFormat="1" ht="14.25">
      <c r="A20" s="225" t="s">
        <v>391</v>
      </c>
      <c r="C20" s="249"/>
      <c r="E20" s="238">
        <f>Application!W872</f>
        <v>178000</v>
      </c>
      <c r="F20" s="238"/>
      <c r="G20" s="238">
        <f t="shared" si="0"/>
        <v>184230</v>
      </c>
      <c r="H20" s="238"/>
      <c r="I20" s="238">
        <f t="shared" si="0"/>
        <v>190678.05</v>
      </c>
      <c r="J20" s="238"/>
      <c r="K20" s="238">
        <f t="shared" si="0"/>
        <v>197351.78174999997</v>
      </c>
      <c r="L20" s="238"/>
      <c r="M20" s="238">
        <f t="shared" si="0"/>
        <v>204259.09411124996</v>
      </c>
      <c r="N20" s="238"/>
      <c r="O20" s="238">
        <f t="shared" si="0"/>
        <v>211408.1624051437</v>
      </c>
      <c r="P20" s="238"/>
      <c r="Q20" s="238">
        <f t="shared" si="0"/>
        <v>218807.44808932371</v>
      </c>
      <c r="R20" s="238"/>
      <c r="S20" s="238">
        <f t="shared" si="0"/>
        <v>226465.70877245002</v>
      </c>
      <c r="T20" s="238"/>
      <c r="U20" s="238">
        <f t="shared" si="0"/>
        <v>234392.00857948576</v>
      </c>
      <c r="V20" s="238"/>
      <c r="W20" s="238">
        <f t="shared" si="0"/>
        <v>242595.72887976773</v>
      </c>
      <c r="X20" s="238"/>
      <c r="Y20" s="238">
        <f t="shared" si="0"/>
        <v>251086.57939055958</v>
      </c>
      <c r="Z20" s="238"/>
      <c r="AA20" s="238">
        <f t="shared" si="0"/>
        <v>259874.60966922913</v>
      </c>
      <c r="AB20" s="238"/>
      <c r="AC20" s="238">
        <f t="shared" si="0"/>
        <v>268970.22100765212</v>
      </c>
      <c r="AD20" s="238"/>
      <c r="AE20" s="238">
        <f t="shared" si="0"/>
        <v>278384.17874291993</v>
      </c>
      <c r="AF20" s="238"/>
      <c r="AG20" s="238">
        <f t="shared" si="0"/>
        <v>288127.62499892211</v>
      </c>
    </row>
    <row r="21" spans="1:33" s="225" customFormat="1" ht="14.25">
      <c r="A21" s="242" t="s">
        <v>982</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5">
      <c r="A22" s="239" t="s">
        <v>855</v>
      </c>
      <c r="C22" s="249"/>
      <c r="E22" s="239">
        <f>SUM(E15:E21)</f>
        <v>1005672</v>
      </c>
      <c r="G22" s="239">
        <f>SUM(G15:G21)</f>
        <v>1040870.52</v>
      </c>
      <c r="I22" s="239">
        <f>SUM(I15:I21)</f>
        <v>1077300.9882</v>
      </c>
      <c r="K22" s="239">
        <f>SUM(K15:K21)</f>
        <v>1115006.5227869996</v>
      </c>
      <c r="M22" s="239">
        <f>SUM(M15:M21)</f>
        <v>1154031.7510845449</v>
      </c>
      <c r="O22" s="239">
        <f>SUM(O15:O21)</f>
        <v>1194422.8623725038</v>
      </c>
      <c r="Q22" s="239">
        <f>SUM(Q15:Q21)</f>
        <v>1236227.6625555414</v>
      </c>
      <c r="S22" s="239">
        <f>SUM(S15:S21)</f>
        <v>1279495.6307449853</v>
      </c>
      <c r="U22" s="239">
        <f>SUM(U15:U21)</f>
        <v>1324277.9778210595</v>
      </c>
      <c r="W22" s="239">
        <f>SUM(W15:W21)</f>
        <v>1370627.7070447963</v>
      </c>
      <c r="Y22" s="239">
        <f>SUM(Y15:Y21)</f>
        <v>1418599.6767913643</v>
      </c>
      <c r="AA22" s="239">
        <f>SUM(AA15:AA21)</f>
        <v>1468250.6654790617</v>
      </c>
      <c r="AC22" s="239">
        <f>SUM(AC15:AC21)</f>
        <v>1519639.438770829</v>
      </c>
      <c r="AE22" s="239">
        <f>SUM(AE15:AE21)</f>
        <v>1572826.8191278079</v>
      </c>
      <c r="AG22" s="239">
        <f>SUM(AG15:AG21)</f>
        <v>1627875.7577972808</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1871</v>
      </c>
      <c r="C24" s="249"/>
      <c r="E24" s="945">
        <v>0</v>
      </c>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857</v>
      </c>
      <c r="C27" s="253">
        <v>1.0349999999999999</v>
      </c>
      <c r="E27" s="238">
        <f>Application!AC888</f>
        <v>30000</v>
      </c>
      <c r="F27" s="238"/>
      <c r="G27" s="238">
        <f>E27*$C$27</f>
        <v>31049.999999999996</v>
      </c>
      <c r="H27" s="238"/>
      <c r="I27" s="238">
        <f>G27*$C$27</f>
        <v>32136.749999999993</v>
      </c>
      <c r="J27" s="238"/>
      <c r="K27" s="238">
        <f>I27*$C$27</f>
        <v>33261.53624999999</v>
      </c>
      <c r="L27" s="238"/>
      <c r="M27" s="238">
        <f>K27*$C$27</f>
        <v>34425.690018749985</v>
      </c>
      <c r="N27" s="238"/>
      <c r="O27" s="238">
        <f>M27*$C$27</f>
        <v>35630.58916940623</v>
      </c>
      <c r="P27" s="238"/>
      <c r="Q27" s="238">
        <f>O27*$C$27</f>
        <v>36877.659790335449</v>
      </c>
      <c r="R27" s="238"/>
      <c r="S27" s="238">
        <f>Q27*$C$27</f>
        <v>38168.377882997185</v>
      </c>
      <c r="T27" s="238"/>
      <c r="U27" s="238">
        <f>S27*$C$27</f>
        <v>39504.271108902081</v>
      </c>
      <c r="V27" s="238"/>
      <c r="W27" s="238">
        <f>U27*$C$27</f>
        <v>40886.920597713652</v>
      </c>
      <c r="X27" s="238"/>
      <c r="Y27" s="238">
        <f>W27*$C$27</f>
        <v>42317.962818633627</v>
      </c>
      <c r="Z27" s="238"/>
      <c r="AA27" s="238">
        <f>Y27*$C$27</f>
        <v>43799.0915172858</v>
      </c>
      <c r="AB27" s="238"/>
      <c r="AC27" s="238">
        <f>AA27*$C$27</f>
        <v>45332.059720390796</v>
      </c>
      <c r="AD27" s="238"/>
      <c r="AE27" s="238">
        <f>AC27*$C$27</f>
        <v>46918.681810604474</v>
      </c>
      <c r="AF27" s="238"/>
      <c r="AG27" s="238">
        <f>AE27*$C$27</f>
        <v>48560.835673975627</v>
      </c>
    </row>
    <row r="28" spans="1:33" s="225" customFormat="1" ht="14.25">
      <c r="A28" s="225" t="s">
        <v>858</v>
      </c>
      <c r="C28" s="253"/>
      <c r="E28" s="238">
        <f>Application!AC889</f>
        <v>66250</v>
      </c>
      <c r="F28" s="238"/>
      <c r="G28" s="238">
        <f>$E$28</f>
        <v>66250</v>
      </c>
      <c r="H28" s="238"/>
      <c r="I28" s="238">
        <f>$E$28</f>
        <v>66250</v>
      </c>
      <c r="J28" s="238"/>
      <c r="K28" s="238">
        <f>$E$28</f>
        <v>66250</v>
      </c>
      <c r="L28" s="238"/>
      <c r="M28" s="238">
        <f>$E$28</f>
        <v>66250</v>
      </c>
      <c r="N28" s="238"/>
      <c r="O28" s="238">
        <f>$E$28</f>
        <v>66250</v>
      </c>
      <c r="P28" s="238"/>
      <c r="Q28" s="238">
        <f>$E$28</f>
        <v>66250</v>
      </c>
      <c r="R28" s="238"/>
      <c r="S28" s="238">
        <f>$E$28</f>
        <v>66250</v>
      </c>
      <c r="T28" s="238"/>
      <c r="U28" s="238">
        <f>$E$28</f>
        <v>66250</v>
      </c>
      <c r="V28" s="238"/>
      <c r="W28" s="238">
        <f>$E$28</f>
        <v>66250</v>
      </c>
      <c r="X28" s="238"/>
      <c r="Y28" s="238">
        <f>$E$28</f>
        <v>66250</v>
      </c>
      <c r="Z28" s="238"/>
      <c r="AA28" s="238">
        <f>$E$28</f>
        <v>66250</v>
      </c>
      <c r="AB28" s="238"/>
      <c r="AC28" s="238">
        <f>$E$28</f>
        <v>66250</v>
      </c>
      <c r="AD28" s="238"/>
      <c r="AE28" s="238">
        <f>$E$28</f>
        <v>66250</v>
      </c>
      <c r="AF28" s="238"/>
      <c r="AG28" s="238">
        <f>$E$28</f>
        <v>66250</v>
      </c>
    </row>
    <row r="29" spans="1:33" s="225" customFormat="1" ht="14.25">
      <c r="A29" s="225" t="s">
        <v>1869</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25">
      <c r="A30" s="225" t="s">
        <v>856</v>
      </c>
      <c r="C30" s="253">
        <v>1.02</v>
      </c>
      <c r="E30" s="238">
        <f>Application!AC891</f>
        <v>14000</v>
      </c>
      <c r="F30" s="238"/>
      <c r="G30" s="238">
        <f>E30*$C$30</f>
        <v>14280</v>
      </c>
      <c r="H30" s="238"/>
      <c r="I30" s="238">
        <f>G30*$C$30</f>
        <v>14565.6</v>
      </c>
      <c r="J30" s="238"/>
      <c r="K30" s="238">
        <f>I30*$C$30</f>
        <v>14856.912</v>
      </c>
      <c r="L30" s="238"/>
      <c r="M30" s="238">
        <f>K30*$C$30</f>
        <v>15154.05024</v>
      </c>
      <c r="N30" s="238"/>
      <c r="O30" s="238">
        <f>M30*$C$30</f>
        <v>15457.131244800001</v>
      </c>
      <c r="P30" s="238"/>
      <c r="Q30" s="238">
        <f>O30*$C$30</f>
        <v>15766.273869696</v>
      </c>
      <c r="R30" s="238"/>
      <c r="S30" s="238">
        <f>Q30*$C$30</f>
        <v>16081.599347089921</v>
      </c>
      <c r="T30" s="238"/>
      <c r="U30" s="238">
        <f>S30*$C$30</f>
        <v>16403.23133403172</v>
      </c>
      <c r="V30" s="238"/>
      <c r="W30" s="238">
        <f>U30*$C$30</f>
        <v>16731.295960712356</v>
      </c>
      <c r="X30" s="238"/>
      <c r="Y30" s="238">
        <f>W30*$C$30</f>
        <v>17065.921879926602</v>
      </c>
      <c r="Z30" s="238"/>
      <c r="AA30" s="238">
        <f>Y30*$C$30</f>
        <v>17407.240317525135</v>
      </c>
      <c r="AB30" s="238"/>
      <c r="AC30" s="238">
        <f>AA30*$C$30</f>
        <v>17755.385123875636</v>
      </c>
      <c r="AD30" s="238"/>
      <c r="AE30" s="238">
        <f>AC30*$C$30</f>
        <v>18110.492826353147</v>
      </c>
      <c r="AF30" s="238"/>
      <c r="AG30" s="238">
        <f>AE30*$C$30</f>
        <v>18472.702682880212</v>
      </c>
    </row>
    <row r="31" spans="1:33" s="225" customFormat="1" ht="14.25">
      <c r="A31" s="225" t="s">
        <v>1870</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(Specify):Misc state &amp; Local fees, issuer fee</v>
      </c>
      <c r="C32" s="340">
        <v>1.0349999999999999</v>
      </c>
      <c r="E32" s="238">
        <f>Application!AC893</f>
        <v>51000</v>
      </c>
      <c r="F32" s="238"/>
      <c r="G32" s="238">
        <f>E32*$C$32</f>
        <v>52784.999999999993</v>
      </c>
      <c r="H32" s="238"/>
      <c r="I32" s="238">
        <f>G32*$C$32</f>
        <v>54632.474999999991</v>
      </c>
      <c r="J32" s="238"/>
      <c r="K32" s="238">
        <f>I32*$C$32</f>
        <v>56544.611624999983</v>
      </c>
      <c r="L32" s="238"/>
      <c r="M32" s="238">
        <f>K32*$C$32</f>
        <v>58523.673031874976</v>
      </c>
      <c r="N32" s="238"/>
      <c r="O32" s="238">
        <f>M32*$C$32</f>
        <v>60572.001587990599</v>
      </c>
      <c r="P32" s="238"/>
      <c r="Q32" s="238">
        <f>O32*$C$32</f>
        <v>62692.021643570268</v>
      </c>
      <c r="R32" s="238"/>
      <c r="S32" s="238">
        <f>Q32*$C$32</f>
        <v>64886.242401095224</v>
      </c>
      <c r="T32" s="238"/>
      <c r="U32" s="238">
        <f>S32*$C$32</f>
        <v>67157.260885133554</v>
      </c>
      <c r="V32" s="238"/>
      <c r="W32" s="238">
        <f>U32*$C$32</f>
        <v>69507.765016113219</v>
      </c>
      <c r="X32" s="238"/>
      <c r="Y32" s="238">
        <f>W32*$C$32</f>
        <v>71940.536791677179</v>
      </c>
      <c r="Z32" s="238"/>
      <c r="AA32" s="238">
        <f>Y32*$C$32</f>
        <v>74458.455579385874</v>
      </c>
      <c r="AB32" s="238"/>
      <c r="AC32" s="238">
        <f>AA32*$C$32</f>
        <v>77064.501524664374</v>
      </c>
      <c r="AD32" s="238"/>
      <c r="AE32" s="238">
        <f>AC32*$C$32</f>
        <v>79761.759078027622</v>
      </c>
      <c r="AF32" s="238"/>
      <c r="AG32" s="238">
        <f>AE32*$C$32</f>
        <v>82553.420645758582</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1166922</v>
      </c>
      <c r="G35" s="239">
        <f>SUM(G22:G33)</f>
        <v>1205235.52</v>
      </c>
      <c r="I35" s="239">
        <f>SUM(I22:I33)</f>
        <v>1244885.8132000002</v>
      </c>
      <c r="K35" s="239">
        <f>SUM(K22:K33)</f>
        <v>1285919.5826619994</v>
      </c>
      <c r="M35" s="239">
        <f>SUM(M22:M33)</f>
        <v>1328385.1643751699</v>
      </c>
      <c r="O35" s="239">
        <f>SUM(O22:O33)</f>
        <v>1372332.5843747009</v>
      </c>
      <c r="Q35" s="239">
        <f>SUM(Q22:Q33)</f>
        <v>1417813.6178591431</v>
      </c>
      <c r="S35" s="239">
        <f>SUM(S22:S33)</f>
        <v>1464881.8503761678</v>
      </c>
      <c r="U35" s="239">
        <f>SUM(U22:U33)</f>
        <v>1513592.741149127</v>
      </c>
      <c r="W35" s="239">
        <f>SUM(W22:W33)</f>
        <v>1564003.6886193354</v>
      </c>
      <c r="Y35" s="239">
        <f>SUM(Y22:Y33)</f>
        <v>1616174.0982816017</v>
      </c>
      <c r="AA35" s="239">
        <f>SUM(AA22:AA33)</f>
        <v>1670165.4528932585</v>
      </c>
      <c r="AC35" s="239">
        <f>SUM(AC22:AC33)</f>
        <v>1726041.3851397599</v>
      </c>
      <c r="AE35" s="239">
        <f>SUM(AE22:AE33)</f>
        <v>1783867.752842793</v>
      </c>
      <c r="AG35" s="239">
        <f>SUM(AG22:AG33)</f>
        <v>1843712.716799895</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859</v>
      </c>
      <c r="C37" s="240"/>
      <c r="E37" s="239">
        <f>E11-E35</f>
        <v>2207888.4</v>
      </c>
      <c r="G37" s="239">
        <f>G11-G35</f>
        <v>2253945.1399999997</v>
      </c>
      <c r="I37" s="239">
        <f>I11-I35</f>
        <v>2300774.3632999985</v>
      </c>
      <c r="K37" s="239">
        <f>K11-K35</f>
        <v>2348382.0982504995</v>
      </c>
      <c r="M37" s="239">
        <f>M11-M35</f>
        <v>2396774.0585601414</v>
      </c>
      <c r="O37" s="239">
        <f>O11-O35</f>
        <v>2445955.6191339921</v>
      </c>
      <c r="Q37" s="239">
        <f>Q11-Q35</f>
        <v>2495931.7907372676</v>
      </c>
      <c r="S37" s="239">
        <f>S11-S35</f>
        <v>2546707.1934351525</v>
      </c>
      <c r="U37" s="239">
        <f>U11-U35</f>
        <v>2598286.0287574762</v>
      </c>
      <c r="W37" s="239">
        <f>W11-W35</f>
        <v>2650672.0505349329</v>
      </c>
      <c r="Y37" s="239">
        <f>Y11-Y35</f>
        <v>2703868.5343515221</v>
      </c>
      <c r="AA37" s="239">
        <f>AA11-AA35</f>
        <v>2757878.2455556947</v>
      </c>
      <c r="AC37" s="239">
        <f>AC11-AC35</f>
        <v>2812703.4057704164</v>
      </c>
      <c r="AE37" s="239">
        <f>AE11-AE35</f>
        <v>2868345.6578401364</v>
      </c>
      <c r="AG37" s="239">
        <f>AG11-AG35</f>
        <v>2924806.029150106</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Perm Loan - Banner Bank</v>
      </c>
      <c r="B40" s="242"/>
      <c r="C40" s="236"/>
      <c r="E40" s="238">
        <f>Application!AF627</f>
        <v>1904102</v>
      </c>
      <c r="F40" s="238"/>
      <c r="G40" s="238">
        <f>$E$40</f>
        <v>1904102</v>
      </c>
      <c r="H40" s="238"/>
      <c r="I40" s="238">
        <f>$E$40</f>
        <v>1904102</v>
      </c>
      <c r="J40" s="238"/>
      <c r="K40" s="238">
        <f>$E$40</f>
        <v>1904102</v>
      </c>
      <c r="L40" s="238"/>
      <c r="M40" s="238">
        <f>$E$40</f>
        <v>1904102</v>
      </c>
      <c r="N40" s="238"/>
      <c r="O40" s="238">
        <f>$E$40</f>
        <v>1904102</v>
      </c>
      <c r="P40" s="238"/>
      <c r="Q40" s="238">
        <f>$E$40</f>
        <v>1904102</v>
      </c>
      <c r="R40" s="238"/>
      <c r="S40" s="238">
        <f>$E$40</f>
        <v>1904102</v>
      </c>
      <c r="T40" s="238"/>
      <c r="U40" s="238">
        <f>$E$40</f>
        <v>1904102</v>
      </c>
      <c r="V40" s="238"/>
      <c r="W40" s="238">
        <f>$E$40</f>
        <v>1904102</v>
      </c>
      <c r="X40" s="238"/>
      <c r="Y40" s="238">
        <f>$E$40</f>
        <v>1904102</v>
      </c>
      <c r="Z40" s="238"/>
      <c r="AA40" s="238">
        <f>$E$40</f>
        <v>1904102</v>
      </c>
      <c r="AB40" s="238"/>
      <c r="AC40" s="238">
        <f>$E$40</f>
        <v>1904102</v>
      </c>
      <c r="AD40" s="238"/>
      <c r="AE40" s="238">
        <f>$E$40</f>
        <v>1904102</v>
      </c>
      <c r="AF40" s="238"/>
      <c r="AG40" s="238">
        <f>$E$40</f>
        <v>1904102</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860</v>
      </c>
      <c r="C43" s="240"/>
      <c r="E43" s="239">
        <f>SUM(E40:E42)</f>
        <v>1904102</v>
      </c>
      <c r="G43" s="239">
        <f>SUM(G40:G42)</f>
        <v>1904102</v>
      </c>
      <c r="I43" s="239">
        <f>SUM(I40:I42)</f>
        <v>1904102</v>
      </c>
      <c r="K43" s="239">
        <f>SUM(K40:K42)</f>
        <v>1904102</v>
      </c>
      <c r="M43" s="239">
        <f>SUM(M40:M42)</f>
        <v>1904102</v>
      </c>
      <c r="O43" s="239">
        <f>SUM(O40:O42)</f>
        <v>1904102</v>
      </c>
      <c r="Q43" s="239">
        <f>SUM(Q40:Q42)</f>
        <v>1904102</v>
      </c>
      <c r="S43" s="239">
        <f>SUM(S40:S42)</f>
        <v>1904102</v>
      </c>
      <c r="U43" s="239">
        <f>SUM(U40:U42)</f>
        <v>1904102</v>
      </c>
      <c r="W43" s="239">
        <f>SUM(W40:W42)</f>
        <v>1904102</v>
      </c>
      <c r="Y43" s="239">
        <f>SUM(Y40:Y42)</f>
        <v>1904102</v>
      </c>
      <c r="AA43" s="239">
        <f>SUM(AA40:AA42)</f>
        <v>1904102</v>
      </c>
      <c r="AC43" s="239">
        <f>SUM(AC40:AC42)</f>
        <v>1904102</v>
      </c>
      <c r="AE43" s="239">
        <f>SUM(AE40:AE42)</f>
        <v>1904102</v>
      </c>
      <c r="AG43" s="239">
        <f>SUM(AG40:AG42)</f>
        <v>1904102</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861</v>
      </c>
      <c r="C45" s="240"/>
      <c r="E45" s="239">
        <f>E37-E43</f>
        <v>303786.39999999991</v>
      </c>
      <c r="G45" s="239">
        <f>G37-G43</f>
        <v>349843.13999999966</v>
      </c>
      <c r="I45" s="239">
        <f>I37-I43</f>
        <v>396672.36329999845</v>
      </c>
      <c r="K45" s="239">
        <f>K37-K43</f>
        <v>444280.09825049946</v>
      </c>
      <c r="M45" s="239">
        <f>M37-M43</f>
        <v>492672.05856014136</v>
      </c>
      <c r="O45" s="239">
        <f>O37-O43</f>
        <v>541853.61913399212</v>
      </c>
      <c r="Q45" s="239">
        <f>Q37-Q43</f>
        <v>591829.79073726758</v>
      </c>
      <c r="S45" s="239">
        <f>S37-S43</f>
        <v>642605.19343515253</v>
      </c>
      <c r="U45" s="239">
        <f>U37-U43</f>
        <v>694184.02875747625</v>
      </c>
      <c r="W45" s="239">
        <f>W37-W43</f>
        <v>746570.05053493287</v>
      </c>
      <c r="Y45" s="239">
        <f>Y37-Y43</f>
        <v>799766.5343515221</v>
      </c>
      <c r="AA45" s="239">
        <f>AA37-AA43</f>
        <v>853776.24555569468</v>
      </c>
      <c r="AC45" s="239">
        <f>AC37-AC43</f>
        <v>908601.40577041637</v>
      </c>
      <c r="AE45" s="239">
        <f>AE37-AE43</f>
        <v>964243.65784013644</v>
      </c>
      <c r="AG45" s="239">
        <f>AG37-AG43</f>
        <v>1020704.029150106</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863</v>
      </c>
      <c r="C47" s="236"/>
      <c r="E47" s="243">
        <f>E45/(E4+E6+E8)</f>
        <v>8.5515049971399845E-2</v>
      </c>
      <c r="G47" s="243">
        <f>G45/(G4+G6+G8)</f>
        <v>9.6077948990383091E-2</v>
      </c>
      <c r="I47" s="243">
        <f>I45/(I4+I6+I8)</f>
        <v>0.10628168701349844</v>
      </c>
      <c r="K47" s="243">
        <f>K45/(K4+K6+K8)</f>
        <v>0.11613402804579566</v>
      </c>
      <c r="M47" s="243">
        <f>M45/(M4+M6+M8)</f>
        <v>0.12564253703586242</v>
      </c>
      <c r="O47" s="243">
        <f>O45/(O4+O6+O8)</f>
        <v>0.134814584636191</v>
      </c>
      <c r="Q47" s="243">
        <f>Q45/(Q4+Q6+Q8)</f>
        <v>0.14365735184651168</v>
      </c>
      <c r="S47" s="243">
        <f>S45/(S4+S6+S8)</f>
        <v>0.15217783454294123</v>
      </c>
      <c r="U47" s="243">
        <f>U45/(U4+U6+U8)</f>
        <v>0.16038284789572763</v>
      </c>
      <c r="W47" s="243">
        <f>W45/(W4+W6+W8)</f>
        <v>0.16827903067829017</v>
      </c>
      <c r="Y47" s="243">
        <f>Y45/(Y4+Y6+Y8)</f>
        <v>0.17587284947020324</v>
      </c>
      <c r="AA47" s="243">
        <f>AA45/(AA4+AA6+AA8)</f>
        <v>0.18317060275670186</v>
      </c>
      <c r="AC47" s="243">
        <f>AC45/(AC4+AC6+AC8)</f>
        <v>0.19017842492721423</v>
      </c>
      <c r="AE47" s="243">
        <f>AE45/(AE4+AE6+AE8)</f>
        <v>0.19690229017538971</v>
      </c>
      <c r="AG47" s="243">
        <f>AG45/(AG4+AG6+AG8)</f>
        <v>0.2033480163029997</v>
      </c>
    </row>
    <row r="48" spans="1:33" s="243" customFormat="1" ht="14.25">
      <c r="A48" s="243" t="s">
        <v>864</v>
      </c>
      <c r="C48" s="236"/>
      <c r="E48" s="243">
        <f>E45/E43</f>
        <v>0.15954313371867679</v>
      </c>
      <c r="G48" s="243">
        <f>G45/G43</f>
        <v>0.18373130220965037</v>
      </c>
      <c r="I48" s="243">
        <f>I45/I43</f>
        <v>0.20832516498590856</v>
      </c>
      <c r="K48" s="243">
        <f>K45/K43</f>
        <v>0.23332788802831964</v>
      </c>
      <c r="M48" s="243">
        <f>M45/M43</f>
        <v>0.25874247207352408</v>
      </c>
      <c r="O48" s="243">
        <f>O45/O43</f>
        <v>0.28457173992464274</v>
      </c>
      <c r="Q48" s="243">
        <f>Q45/Q43</f>
        <v>0.31081832314511909</v>
      </c>
      <c r="S48" s="243">
        <f>S45/S43</f>
        <v>0.33748464810979273</v>
      </c>
      <c r="U48" s="243">
        <f>U45/U43</f>
        <v>0.36457292138628933</v>
      </c>
      <c r="W48" s="243">
        <f>W45/W43</f>
        <v>0.39208511441873012</v>
      </c>
      <c r="Y48" s="243">
        <f>Y45/Y43</f>
        <v>0.4200229474847052</v>
      </c>
      <c r="AA48" s="243">
        <f>AA45/AA43</f>
        <v>0.4483878728953043</v>
      </c>
      <c r="AC48" s="243">
        <f>AC45/AC43</f>
        <v>0.47718105740680716</v>
      </c>
      <c r="AE48" s="243">
        <f>AE45/AE43</f>
        <v>0.50640336381146411</v>
      </c>
      <c r="AG48" s="243">
        <f>AG45/AG43</f>
        <v>0.53605533167346398</v>
      </c>
    </row>
    <row r="49" spans="1:35" s="244" customFormat="1" ht="14.25">
      <c r="A49" s="244" t="s">
        <v>862</v>
      </c>
      <c r="C49" s="245"/>
      <c r="E49" s="244">
        <f>E37/E43</f>
        <v>1.1595431337186768</v>
      </c>
      <c r="G49" s="244">
        <f>G37/G43</f>
        <v>1.1837313022096503</v>
      </c>
      <c r="I49" s="244">
        <f>I37/I43</f>
        <v>1.2083251649859086</v>
      </c>
      <c r="K49" s="244">
        <f>K37/K43</f>
        <v>1.2333278880283196</v>
      </c>
      <c r="M49" s="244">
        <f>M37/M43</f>
        <v>1.2587424720735241</v>
      </c>
      <c r="O49" s="244">
        <f>O37/O43</f>
        <v>1.2845717399246428</v>
      </c>
      <c r="Q49" s="244">
        <f>Q37/Q43</f>
        <v>1.3108183231451191</v>
      </c>
      <c r="S49" s="244">
        <f>S37/S43</f>
        <v>1.3374846481097926</v>
      </c>
      <c r="U49" s="244">
        <f>U37/U43</f>
        <v>1.3645729213862894</v>
      </c>
      <c r="W49" s="244">
        <f>W37/W43</f>
        <v>1.3920851144187301</v>
      </c>
      <c r="Y49" s="244">
        <f>Y37/Y43</f>
        <v>1.4200229474847053</v>
      </c>
      <c r="AA49" s="244">
        <f>AA37/AA43</f>
        <v>1.4483878728953044</v>
      </c>
      <c r="AC49" s="244">
        <f>AC37/AC43</f>
        <v>1.4771810574068072</v>
      </c>
      <c r="AE49" s="244">
        <f>AE37/AE43</f>
        <v>1.506403363811464</v>
      </c>
      <c r="AG49" s="244">
        <f>AG37/AG43</f>
        <v>1.536055331673464</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91" t="s">
        <v>1291</v>
      </c>
      <c r="B52" s="2691"/>
      <c r="C52" s="2691"/>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v>1.03</v>
      </c>
      <c r="E53" s="999">
        <v>20000</v>
      </c>
      <c r="G53" s="995">
        <f>E53*$C$53</f>
        <v>20600</v>
      </c>
      <c r="I53" s="995">
        <f>G53*$C$53</f>
        <v>21218</v>
      </c>
      <c r="K53" s="995">
        <f>I53*$C$53</f>
        <v>21854.54</v>
      </c>
      <c r="M53" s="995">
        <f>K53*$C$53</f>
        <v>22510.176200000002</v>
      </c>
      <c r="O53" s="995">
        <f>M53*$C$53</f>
        <v>23185.481486000001</v>
      </c>
      <c r="Q53" s="995">
        <f>O53*$C$53</f>
        <v>23881.04593058</v>
      </c>
      <c r="S53" s="995">
        <f>Q53*$C$53</f>
        <v>24597.4773084974</v>
      </c>
      <c r="U53" s="995">
        <f>S53*$C$53</f>
        <v>25335.401627752322</v>
      </c>
      <c r="W53" s="995">
        <f>U53*$C$53</f>
        <v>26095.463676584892</v>
      </c>
      <c r="Y53" s="995">
        <f>W53*$C$53</f>
        <v>26878.327586882438</v>
      </c>
      <c r="AA53" s="995">
        <f>Y53*$C$53</f>
        <v>27684.677414488913</v>
      </c>
      <c r="AC53" s="995">
        <f>AA53*$C$53</f>
        <v>28515.21773692358</v>
      </c>
      <c r="AE53" s="995">
        <f>AC53*$C$53</f>
        <v>29370.674269031289</v>
      </c>
      <c r="AG53" s="995">
        <f>AE53*$C$53</f>
        <v>30251.79449710223</v>
      </c>
    </row>
    <row r="54" spans="1:35" s="3" customFormat="1">
      <c r="A54" s="3" t="s">
        <v>867</v>
      </c>
      <c r="C54" s="1270">
        <v>1.03</v>
      </c>
      <c r="E54" s="1000">
        <v>5000</v>
      </c>
      <c r="F54" s="995"/>
      <c r="G54" s="995">
        <f t="shared" ref="G54:AG57" si="1">E54*$C$53</f>
        <v>5150</v>
      </c>
      <c r="H54" s="995"/>
      <c r="I54" s="995">
        <f t="shared" si="1"/>
        <v>5304.5</v>
      </c>
      <c r="J54" s="995"/>
      <c r="K54" s="995">
        <f t="shared" si="1"/>
        <v>5463.6350000000002</v>
      </c>
      <c r="L54" s="995"/>
      <c r="M54" s="995">
        <f t="shared" si="1"/>
        <v>5627.5440500000004</v>
      </c>
      <c r="N54" s="995"/>
      <c r="O54" s="995">
        <f t="shared" si="1"/>
        <v>5796.3703715000001</v>
      </c>
      <c r="P54" s="995"/>
      <c r="Q54" s="995">
        <f t="shared" si="1"/>
        <v>5970.2614826449999</v>
      </c>
      <c r="R54" s="995"/>
      <c r="S54" s="995">
        <f t="shared" si="1"/>
        <v>6149.3693271243501</v>
      </c>
      <c r="T54" s="995"/>
      <c r="U54" s="995">
        <f t="shared" si="1"/>
        <v>6333.8504069380806</v>
      </c>
      <c r="V54" s="995"/>
      <c r="W54" s="995">
        <f t="shared" si="1"/>
        <v>6523.865919146223</v>
      </c>
      <c r="X54" s="995"/>
      <c r="Y54" s="995">
        <f t="shared" si="1"/>
        <v>6719.5818967206096</v>
      </c>
      <c r="Z54" s="995"/>
      <c r="AA54" s="995">
        <f t="shared" si="1"/>
        <v>6921.1693536222283</v>
      </c>
      <c r="AB54" s="995"/>
      <c r="AC54" s="995">
        <f t="shared" si="1"/>
        <v>7128.8044342308949</v>
      </c>
      <c r="AD54" s="995"/>
      <c r="AE54" s="995">
        <f t="shared" si="1"/>
        <v>7342.6685672578224</v>
      </c>
      <c r="AF54" s="995"/>
      <c r="AG54" s="995">
        <f t="shared" si="1"/>
        <v>7562.9486242755574</v>
      </c>
      <c r="AH54" s="995"/>
      <c r="AI54" s="995"/>
    </row>
    <row r="55" spans="1:35" s="3" customFormat="1">
      <c r="A55" s="3" t="s">
        <v>868</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t="s">
        <v>2805</v>
      </c>
      <c r="B56" s="1001"/>
      <c r="C56" s="993">
        <v>0.05</v>
      </c>
      <c r="E56" s="1000">
        <f>(E45-E53-E54)*C56</f>
        <v>13939.319999999996</v>
      </c>
      <c r="F56" s="995"/>
      <c r="G56" s="1000">
        <f>(G45-G53-G54)*C56</f>
        <v>16204.656999999985</v>
      </c>
      <c r="H56" s="995"/>
      <c r="I56" s="995">
        <f>(I45-I53-I54)*C56</f>
        <v>18507.493164999923</v>
      </c>
      <c r="J56" s="995"/>
      <c r="K56" s="995">
        <f>(K45-K53-K54)*C56</f>
        <v>20848.096162524977</v>
      </c>
      <c r="L56" s="995"/>
      <c r="M56" s="1271">
        <f>(M45-M53-M54)*C56</f>
        <v>23226.71691550707</v>
      </c>
      <c r="N56" s="995"/>
      <c r="O56" s="1271">
        <f>(O45-O53-O54)*C56</f>
        <v>25643.588363824609</v>
      </c>
      <c r="P56" s="995"/>
      <c r="Q56" s="995">
        <f>(Q45-Q53-Q54)*C56</f>
        <v>28098.924166202134</v>
      </c>
      <c r="R56" s="995"/>
      <c r="S56" s="995">
        <f>(S45-S53-S54)*C56</f>
        <v>30592.917339976542</v>
      </c>
      <c r="T56" s="995"/>
      <c r="U56" s="995">
        <f>(U45-U53-U54)*C56</f>
        <v>33125.738836139288</v>
      </c>
      <c r="V56" s="995"/>
      <c r="W56" s="995">
        <f>(W45-W53-W54)*C56</f>
        <v>35697.536046960093</v>
      </c>
      <c r="X56" s="995"/>
      <c r="Y56" s="995">
        <f>(Y45-Y53-Y54)*C56</f>
        <v>38308.431243395957</v>
      </c>
      <c r="Z56" s="995"/>
      <c r="AA56" s="995">
        <f>(AA45-AA53-AA54)*C56</f>
        <v>40958.519939379185</v>
      </c>
      <c r="AB56" s="995"/>
      <c r="AC56" s="995">
        <f>(AC45-AC53-AC54)*C56</f>
        <v>43647.869179963098</v>
      </c>
      <c r="AD56" s="995"/>
      <c r="AE56" s="995">
        <f>(AE45-AE53-AE54)*C56</f>
        <v>46376.515750192368</v>
      </c>
      <c r="AF56" s="995"/>
      <c r="AG56" s="995">
        <f>(AG45-AG53-AG54)*C56</f>
        <v>49144.464301436412</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865</v>
      </c>
      <c r="C58" s="996"/>
      <c r="E58" s="995">
        <f>SUM(E53:E57)</f>
        <v>38939.319999999992</v>
      </c>
      <c r="F58" s="995"/>
      <c r="G58" s="995">
        <f>SUM(G53:G57)</f>
        <v>41954.656999999985</v>
      </c>
      <c r="H58" s="995"/>
      <c r="I58" s="995">
        <f>SUM(I53:I57)</f>
        <v>45029.99316499992</v>
      </c>
      <c r="J58" s="995"/>
      <c r="K58" s="995">
        <f>SUM(K53:K57)</f>
        <v>48166.271162524979</v>
      </c>
      <c r="L58" s="995"/>
      <c r="M58" s="995">
        <f>SUM(M53:M57)</f>
        <v>51364.437165507072</v>
      </c>
      <c r="N58" s="995"/>
      <c r="O58" s="995">
        <f>SUM(O53:O57)</f>
        <v>54625.440221324607</v>
      </c>
      <c r="P58" s="995"/>
      <c r="Q58" s="995">
        <f>SUM(Q53:Q57)</f>
        <v>57950.231579427134</v>
      </c>
      <c r="R58" s="995"/>
      <c r="S58" s="995">
        <f>SUM(S53:S57)</f>
        <v>61339.763975598296</v>
      </c>
      <c r="T58" s="995"/>
      <c r="U58" s="995">
        <f>SUM(U53:U57)</f>
        <v>64794.990870829686</v>
      </c>
      <c r="V58" s="995"/>
      <c r="W58" s="995">
        <f>SUM(W53:W57)</f>
        <v>68316.865642691206</v>
      </c>
      <c r="X58" s="995"/>
      <c r="Y58" s="995">
        <f>SUM(Y53:Y57)</f>
        <v>71906.340726999013</v>
      </c>
      <c r="Z58" s="995"/>
      <c r="AA58" s="995">
        <f>SUM(AA53:AA57)</f>
        <v>75564.366707490321</v>
      </c>
      <c r="AB58" s="995"/>
      <c r="AC58" s="995">
        <f>SUM(AC53:AC57)</f>
        <v>79291.891351117578</v>
      </c>
      <c r="AD58" s="995"/>
      <c r="AE58" s="995">
        <f>SUM(AE53:AE57)</f>
        <v>83089.858586481481</v>
      </c>
      <c r="AF58" s="995"/>
      <c r="AG58" s="995">
        <f>SUM(AG53:AG57)</f>
        <v>86959.207422814201</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264847.0799999999</v>
      </c>
      <c r="G60" s="997">
        <f>G45-G58</f>
        <v>307888.48299999966</v>
      </c>
      <c r="I60" s="997">
        <f>I45-I58</f>
        <v>351642.37013499852</v>
      </c>
      <c r="K60" s="997">
        <f>K45-K58</f>
        <v>396113.82708797447</v>
      </c>
      <c r="M60" s="997">
        <f>M45-M58</f>
        <v>441307.62139463431</v>
      </c>
      <c r="O60" s="997">
        <f>O45-O58</f>
        <v>487228.1789126675</v>
      </c>
      <c r="Q60" s="997">
        <f>Q45-Q58</f>
        <v>533879.55915784044</v>
      </c>
      <c r="S60" s="997">
        <f>S45-S58</f>
        <v>581265.42945955426</v>
      </c>
      <c r="U60" s="997">
        <f>U45-U58</f>
        <v>629389.03788664658</v>
      </c>
      <c r="W60" s="997">
        <f>W45-W58</f>
        <v>678253.18489224161</v>
      </c>
      <c r="Y60" s="997">
        <f>Y45-Y58</f>
        <v>727860.19362452312</v>
      </c>
      <c r="AA60" s="997">
        <f>AA45-AA58</f>
        <v>778211.87884820439</v>
      </c>
      <c r="AC60" s="997">
        <f>AC45-AC58</f>
        <v>829309.51441929885</v>
      </c>
      <c r="AE60" s="997">
        <f>AE45-AE58</f>
        <v>881153.7992536549</v>
      </c>
      <c r="AG60" s="997">
        <f>AG45-AG58</f>
        <v>933744.8217272918</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1</v>
      </c>
      <c r="E62" s="999">
        <f>E60*$C$62</f>
        <v>264847.0799999999</v>
      </c>
      <c r="G62" s="997">
        <f>G60*$C$62</f>
        <v>307888.48299999966</v>
      </c>
      <c r="I62" s="997">
        <f>I60*$C$62</f>
        <v>351642.37013499852</v>
      </c>
      <c r="K62" s="997">
        <f>K60*$C$62</f>
        <v>396113.82708797447</v>
      </c>
      <c r="M62" s="997">
        <f>M60*$C$62</f>
        <v>441307.62139463431</v>
      </c>
      <c r="O62" s="997">
        <f>O60*$C$62</f>
        <v>487228.1789126675</v>
      </c>
      <c r="Q62" s="997">
        <f>Q60*$C$62</f>
        <v>533879.55915784044</v>
      </c>
      <c r="S62" s="997">
        <f>S60*$C$62</f>
        <v>581265.42945955426</v>
      </c>
      <c r="U62" s="997">
        <f>U60*$C$62</f>
        <v>629389.03788664658</v>
      </c>
      <c r="W62" s="997">
        <f>W60*$C$62</f>
        <v>678253.18489224161</v>
      </c>
      <c r="Y62" s="997">
        <f>Y60*$C$62</f>
        <v>727860.19362452312</v>
      </c>
      <c r="AA62" s="997">
        <f>AA60*$C$62</f>
        <v>778211.87884820439</v>
      </c>
      <c r="AC62" s="997">
        <f>AC60*$C$62</f>
        <v>829309.51441929885</v>
      </c>
      <c r="AE62" s="997">
        <f>AE60*$C$62</f>
        <v>881153.7992536549</v>
      </c>
      <c r="AG62" s="997">
        <f>AG60*$C$62</f>
        <v>933744.8217272918</v>
      </c>
    </row>
    <row r="63" spans="1:35" s="997" customFormat="1">
      <c r="A63" s="2691" t="s">
        <v>2804</v>
      </c>
      <c r="B63" s="2691"/>
      <c r="C63" s="2691"/>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B66" s="999"/>
      <c r="C66" s="998"/>
      <c r="E66" s="999"/>
      <c r="G66" s="995">
        <f>G60*$C$65</f>
        <v>0</v>
      </c>
      <c r="I66" s="995">
        <f>I60*$C$65</f>
        <v>0</v>
      </c>
      <c r="K66" s="995">
        <f>K60*$C$65</f>
        <v>0</v>
      </c>
      <c r="M66" s="995">
        <f>M60*$C$65</f>
        <v>0</v>
      </c>
      <c r="O66" s="995">
        <f>O60*$C$65</f>
        <v>0</v>
      </c>
      <c r="Q66" s="995">
        <f>Q60*$C$65</f>
        <v>0</v>
      </c>
      <c r="S66" s="995">
        <f>S60*$C$65</f>
        <v>0</v>
      </c>
      <c r="U66" s="995">
        <f>U60*$C$65</f>
        <v>0</v>
      </c>
      <c r="W66" s="995">
        <f>W60*$C$65</f>
        <v>0</v>
      </c>
      <c r="Y66" s="995">
        <f>Y60*$C$65</f>
        <v>0</v>
      </c>
      <c r="AA66" s="995">
        <f>AA60*$C$65</f>
        <v>0</v>
      </c>
      <c r="AC66" s="995">
        <f>AC60*$C$65</f>
        <v>0</v>
      </c>
      <c r="AE66" s="995">
        <f>AE60*$C$65</f>
        <v>0</v>
      </c>
      <c r="AG66" s="995">
        <f>AG60*$C$65</f>
        <v>0</v>
      </c>
    </row>
    <row r="67" spans="1:35" s="995" customFormat="1">
      <c r="A67" s="999"/>
      <c r="B67" s="1000"/>
      <c r="C67" s="1005"/>
      <c r="E67" s="999"/>
      <c r="G67" s="995">
        <f>G60*$C$65</f>
        <v>0</v>
      </c>
      <c r="I67" s="995">
        <f>I60*$C$65</f>
        <v>0</v>
      </c>
      <c r="K67" s="995">
        <f>K60*$C$65</f>
        <v>0</v>
      </c>
      <c r="M67" s="995">
        <f>M60*$C$65</f>
        <v>0</v>
      </c>
      <c r="O67" s="995">
        <f>O60*$C$65</f>
        <v>0</v>
      </c>
      <c r="Q67" s="995">
        <f>Q60*$C$65</f>
        <v>0</v>
      </c>
      <c r="S67" s="995">
        <f>S60*$C$65</f>
        <v>0</v>
      </c>
      <c r="U67" s="995">
        <f>U60*$C$65</f>
        <v>0</v>
      </c>
      <c r="W67" s="995">
        <f>W60*$C$65</f>
        <v>0</v>
      </c>
      <c r="Y67" s="995">
        <f>Y60*$C$65</f>
        <v>0</v>
      </c>
      <c r="AA67" s="995">
        <f>AA60*$C$65</f>
        <v>0</v>
      </c>
      <c r="AC67" s="995">
        <f>AC60*$C$65</f>
        <v>0</v>
      </c>
      <c r="AE67" s="995">
        <f>AE60*$C$65</f>
        <v>0</v>
      </c>
      <c r="AG67" s="995">
        <f>AG60*$C$65</f>
        <v>0</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865</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0</v>
      </c>
      <c r="AG70" s="995">
        <f>SUM(AG66:AG69)</f>
        <v>0</v>
      </c>
    </row>
    <row r="71" spans="1:35" s="995" customFormat="1">
      <c r="A71" s="997"/>
      <c r="C71" s="1005"/>
    </row>
    <row r="72" spans="1:35" s="995" customFormat="1">
      <c r="A72" s="997" t="s">
        <v>1913</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1912</v>
      </c>
      <c r="C75" s="192"/>
    </row>
    <row r="76" spans="1:35" s="233" customFormat="1">
      <c r="C76" s="192"/>
    </row>
    <row r="77" spans="1:35" s="250" customFormat="1" ht="30" customHeight="1">
      <c r="A77" s="2689" t="s">
        <v>1911</v>
      </c>
      <c r="B77" s="2690"/>
      <c r="C77" s="2690"/>
      <c r="D77" s="2690"/>
      <c r="E77" s="2690"/>
      <c r="F77" s="2690"/>
      <c r="G77" s="2690"/>
      <c r="H77" s="2690"/>
      <c r="I77" s="2690"/>
      <c r="J77" s="2690"/>
      <c r="K77" s="2690"/>
      <c r="L77" s="2690"/>
      <c r="M77" s="2690"/>
      <c r="N77" s="2690"/>
      <c r="O77" s="2690"/>
      <c r="P77" s="2690"/>
      <c r="Q77" s="2690"/>
      <c r="R77" s="2690"/>
      <c r="S77" s="2690"/>
      <c r="T77" s="2690"/>
      <c r="U77" s="2690"/>
      <c r="V77" s="2690"/>
      <c r="W77" s="2690"/>
      <c r="X77" s="2690"/>
      <c r="Y77" s="2690"/>
      <c r="Z77" s="2690"/>
      <c r="AA77" s="2690"/>
      <c r="AB77" s="2690"/>
      <c r="AC77" s="2690"/>
      <c r="AD77" s="2690"/>
      <c r="AE77" s="2690"/>
      <c r="AF77" s="2690"/>
      <c r="AG77" s="2690"/>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991</v>
      </c>
    </row>
    <row r="2" spans="1:1" ht="15.75">
      <c r="A2" s="338"/>
    </row>
    <row r="3" spans="1:1" ht="15.75">
      <c r="A3" s="339" t="s">
        <v>986</v>
      </c>
    </row>
    <row r="4" spans="1:1" ht="15.75">
      <c r="A4" s="339" t="s">
        <v>987</v>
      </c>
    </row>
    <row r="5" spans="1:1" ht="15.75">
      <c r="A5" s="339" t="s">
        <v>988</v>
      </c>
    </row>
    <row r="6" spans="1:1" ht="15.75">
      <c r="A6" s="339" t="s">
        <v>990</v>
      </c>
    </row>
    <row r="7" spans="1:1" ht="15.75">
      <c r="A7" s="339" t="s">
        <v>989</v>
      </c>
    </row>
    <row r="8" spans="1:1" ht="15.75">
      <c r="A8" s="374" t="s">
        <v>1049</v>
      </c>
    </row>
    <row r="9" spans="1:1" ht="15.75">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1324</v>
      </c>
      <c r="D1" s="301"/>
    </row>
    <row r="2" spans="1:7" s="296" customFormat="1">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c r="A4" s="284" t="s">
        <v>26</v>
      </c>
      <c r="B4" s="284"/>
      <c r="C4" s="284"/>
      <c r="D4" s="284"/>
      <c r="E4" s="303"/>
      <c r="F4" s="284"/>
      <c r="G4" s="383"/>
    </row>
    <row r="5" spans="1:7" s="380" customFormat="1">
      <c r="A5" s="395" t="s">
        <v>27</v>
      </c>
      <c r="B5" s="286">
        <f>'Sources and Uses Budget'!$C4</f>
        <v>0</v>
      </c>
      <c r="C5" s="286">
        <f>'Sources and Uses Budget'!$C4</f>
        <v>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0</v>
      </c>
      <c r="C9" s="290">
        <f>SUM(C5:C8)</f>
        <v>0</v>
      </c>
      <c r="D9" s="290">
        <f t="shared" si="0"/>
        <v>0</v>
      </c>
      <c r="E9" s="288"/>
      <c r="F9" s="287"/>
      <c r="G9" s="383"/>
    </row>
    <row r="10" spans="1:7" s="380" customFormat="1">
      <c r="A10" s="395" t="s">
        <v>603</v>
      </c>
      <c r="B10" s="286">
        <f>'Sources and Uses Budget'!$C9</f>
        <v>0</v>
      </c>
      <c r="C10" s="286">
        <f>'Sources and Uses Budget'!$C9</f>
        <v>0</v>
      </c>
      <c r="D10" s="290">
        <f t="shared" si="0"/>
        <v>0</v>
      </c>
      <c r="E10" s="288"/>
      <c r="F10" s="287"/>
      <c r="G10" s="383"/>
    </row>
    <row r="11" spans="1:7" s="380" customFormat="1">
      <c r="A11" s="395" t="s">
        <v>604</v>
      </c>
      <c r="B11" s="286">
        <f>'Sources and Uses Budget'!$C10</f>
        <v>0</v>
      </c>
      <c r="C11" s="286">
        <f>'Sources and Uses Budget'!$C10</f>
        <v>0</v>
      </c>
      <c r="D11" s="290">
        <f t="shared" si="0"/>
        <v>0</v>
      </c>
      <c r="E11" s="288"/>
      <c r="F11" s="287"/>
      <c r="G11" s="383"/>
    </row>
    <row r="12" spans="1:7" s="380" customFormat="1">
      <c r="A12" s="396" t="s">
        <v>605</v>
      </c>
      <c r="B12" s="290">
        <f>SUM(B10:B11)</f>
        <v>0</v>
      </c>
      <c r="C12" s="290">
        <f>SUM(C10:C11)</f>
        <v>0</v>
      </c>
      <c r="D12" s="290">
        <f t="shared" si="0"/>
        <v>0</v>
      </c>
      <c r="E12" s="288"/>
      <c r="F12" s="287"/>
      <c r="G12" s="383"/>
    </row>
    <row r="13" spans="1:7" s="380" customFormat="1">
      <c r="A13" s="396" t="s">
        <v>84</v>
      </c>
      <c r="B13" s="290">
        <f>SUM(B9+B12)</f>
        <v>0</v>
      </c>
      <c r="C13" s="290">
        <f>SUM(C9+C12)</f>
        <v>0</v>
      </c>
      <c r="D13" s="290">
        <f t="shared" si="0"/>
        <v>0</v>
      </c>
      <c r="E13" s="288"/>
      <c r="F13" s="287"/>
      <c r="G13" s="383"/>
    </row>
    <row r="14" spans="1:7" s="380" customFormat="1">
      <c r="A14" s="397" t="s">
        <v>918</v>
      </c>
      <c r="B14" s="286">
        <f>'Sources and Uses Budget'!$C13</f>
        <v>103001</v>
      </c>
      <c r="C14" s="286">
        <f>'Sources and Uses Budget'!$C13</f>
        <v>103001</v>
      </c>
      <c r="D14" s="290">
        <f t="shared" si="0"/>
        <v>0</v>
      </c>
      <c r="E14" s="288"/>
      <c r="F14" s="287"/>
      <c r="G14" s="383"/>
    </row>
    <row r="15" spans="1:7" s="380" customFormat="1" ht="24">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0</v>
      </c>
      <c r="C19" s="286">
        <f>'Sources and Uses Budget'!$C18</f>
        <v>0</v>
      </c>
      <c r="D19" s="290">
        <f t="shared" si="0"/>
        <v>0</v>
      </c>
      <c r="E19" s="288"/>
      <c r="F19" s="287"/>
      <c r="G19" s="383"/>
    </row>
    <row r="20" spans="1:7" s="380" customFormat="1">
      <c r="A20" s="145" t="s">
        <v>609</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1753</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607</v>
      </c>
      <c r="B30" s="286">
        <f>'Sources and Uses Budget'!$C29</f>
        <v>6992473</v>
      </c>
      <c r="C30" s="286">
        <f>'Sources and Uses Budget'!$C29</f>
        <v>6992473</v>
      </c>
      <c r="D30" s="290">
        <f t="shared" si="0"/>
        <v>0</v>
      </c>
      <c r="E30" s="288"/>
      <c r="F30" s="287"/>
      <c r="G30" s="383"/>
    </row>
    <row r="31" spans="1:7" s="380" customFormat="1">
      <c r="A31" s="145" t="s">
        <v>608</v>
      </c>
      <c r="B31" s="286">
        <f>'Sources and Uses Budget'!$C30</f>
        <v>57870877</v>
      </c>
      <c r="C31" s="286">
        <f>'Sources and Uses Budget'!$C30</f>
        <v>57870877</v>
      </c>
      <c r="D31" s="290">
        <f t="shared" si="0"/>
        <v>0</v>
      </c>
      <c r="E31" s="288"/>
      <c r="F31" s="287"/>
      <c r="G31" s="383"/>
    </row>
    <row r="32" spans="1:7" s="380" customFormat="1">
      <c r="A32" s="145" t="s">
        <v>609</v>
      </c>
      <c r="B32" s="286">
        <f>'Sources and Uses Budget'!$C31</f>
        <v>4091400</v>
      </c>
      <c r="C32" s="286">
        <f>'Sources and Uses Budget'!$C31</f>
        <v>4091400</v>
      </c>
      <c r="D32" s="290">
        <f t="shared" si="0"/>
        <v>0</v>
      </c>
      <c r="E32" s="288"/>
      <c r="F32" s="287"/>
      <c r="G32" s="383"/>
    </row>
    <row r="33" spans="1:7" s="380" customFormat="1">
      <c r="A33" s="145" t="s">
        <v>137</v>
      </c>
      <c r="B33" s="286">
        <f>'Sources and Uses Budget'!$C32</f>
        <v>1145700</v>
      </c>
      <c r="C33" s="286">
        <f>'Sources and Uses Budget'!$C32</f>
        <v>1145700</v>
      </c>
      <c r="D33" s="290">
        <f t="shared" si="0"/>
        <v>0</v>
      </c>
      <c r="E33" s="288"/>
      <c r="F33" s="287"/>
      <c r="G33" s="383"/>
    </row>
    <row r="34" spans="1:7" s="380" customFormat="1">
      <c r="A34" s="145" t="s">
        <v>138</v>
      </c>
      <c r="B34" s="286">
        <f>'Sources and Uses Budget'!$C33</f>
        <v>1145700</v>
      </c>
      <c r="C34" s="286">
        <f>'Sources and Uses Budget'!$C33</f>
        <v>1145700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1666932</v>
      </c>
      <c r="C36" s="286">
        <f>'Sources and Uses Budget'!$C35</f>
        <v>1666932</v>
      </c>
      <c r="D36" s="290">
        <f t="shared" si="0"/>
        <v>0</v>
      </c>
      <c r="E36" s="288"/>
      <c r="F36" s="287"/>
      <c r="G36" s="383"/>
    </row>
    <row r="37" spans="1:7" s="380" customFormat="1">
      <c r="A37" s="304" t="s">
        <v>1753</v>
      </c>
      <c r="B37" s="286">
        <f>'Sources and Uses Budget'!$C36</f>
        <v>0</v>
      </c>
      <c r="C37" s="286">
        <f>'Sources and Uses Budget'!$C36</f>
        <v>0</v>
      </c>
      <c r="D37" s="290"/>
      <c r="E37" s="288"/>
      <c r="F37" s="287"/>
      <c r="G37" s="383"/>
    </row>
    <row r="38" spans="1:7" s="380" customFormat="1">
      <c r="A38" s="155" t="str">
        <f>'Sources and Uses Budget'!A37</f>
        <v>Other: Solar</v>
      </c>
      <c r="B38" s="286">
        <f>'Sources and Uses Budget'!$C37</f>
        <v>1022291</v>
      </c>
      <c r="C38" s="286">
        <f>'Sources and Uses Budget'!$C37</f>
        <v>1022291</v>
      </c>
      <c r="D38" s="290">
        <f t="shared" si="0"/>
        <v>0</v>
      </c>
      <c r="E38" s="288"/>
      <c r="F38" s="287"/>
      <c r="G38" s="383"/>
    </row>
    <row r="39" spans="1:7" s="380" customFormat="1">
      <c r="A39" s="291" t="s">
        <v>143</v>
      </c>
      <c r="B39" s="290">
        <f>SUM(B30:B38)</f>
        <v>73935373</v>
      </c>
      <c r="C39" s="290">
        <f>SUM(C30:C38)</f>
        <v>73935373</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2150000</v>
      </c>
      <c r="C41" s="286">
        <f>'Sources and Uses Budget'!$C40</f>
        <v>2150000</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c r="A43" s="291" t="s">
        <v>147</v>
      </c>
      <c r="B43" s="290">
        <f>SUM(B41:B42)</f>
        <v>2150000</v>
      </c>
      <c r="C43" s="290">
        <f>SUM(C41:C42)</f>
        <v>2150000</v>
      </c>
      <c r="D43" s="290">
        <f t="shared" si="0"/>
        <v>0</v>
      </c>
      <c r="E43" s="288"/>
      <c r="F43" s="287"/>
      <c r="G43" s="383"/>
    </row>
    <row r="44" spans="1:7" s="380" customFormat="1">
      <c r="A44" s="291" t="s">
        <v>148</v>
      </c>
      <c r="B44" s="286">
        <f>'Sources and Uses Budget'!$C43</f>
        <v>650000</v>
      </c>
      <c r="C44" s="286">
        <f>'Sources and Uses Budget'!$C43</f>
        <v>650000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4300000</v>
      </c>
      <c r="C46" s="286">
        <f>'Sources and Uses Budget'!$C45</f>
        <v>4300000</v>
      </c>
      <c r="D46" s="290">
        <f t="shared" si="0"/>
        <v>0</v>
      </c>
      <c r="E46" s="288"/>
      <c r="F46" s="287"/>
      <c r="G46" s="383"/>
    </row>
    <row r="47" spans="1:7" s="380" customFormat="1">
      <c r="A47" s="145" t="s">
        <v>151</v>
      </c>
      <c r="B47" s="286">
        <f>'Sources and Uses Budget'!$C46</f>
        <v>500000</v>
      </c>
      <c r="C47" s="286">
        <f>'Sources and Uses Budget'!$C46</f>
        <v>500000</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540000</v>
      </c>
      <c r="C50" s="286">
        <f>'Sources and Uses Budget'!$C49</f>
        <v>540000</v>
      </c>
      <c r="D50" s="290">
        <f t="shared" si="0"/>
        <v>0</v>
      </c>
      <c r="E50" s="288"/>
      <c r="F50" s="287"/>
      <c r="G50" s="383"/>
    </row>
    <row r="51" spans="1:7" s="380" customFormat="1">
      <c r="A51" s="145" t="s">
        <v>156</v>
      </c>
      <c r="B51" s="286">
        <f>'Sources and Uses Budget'!$C50</f>
        <v>80000</v>
      </c>
      <c r="C51" s="286">
        <f>'Sources and Uses Budget'!$C50</f>
        <v>80000</v>
      </c>
      <c r="D51" s="290">
        <f t="shared" si="0"/>
        <v>0</v>
      </c>
      <c r="E51" s="288"/>
      <c r="F51" s="287"/>
      <c r="G51" s="383"/>
    </row>
    <row r="52" spans="1:7" s="380" customFormat="1">
      <c r="A52" s="304" t="s">
        <v>154</v>
      </c>
      <c r="B52" s="286">
        <f>'Sources and Uses Budget'!$C51</f>
        <v>30000</v>
      </c>
      <c r="C52" s="286">
        <f>'Sources and Uses Budget'!$C51</f>
        <v>30000</v>
      </c>
      <c r="D52" s="290">
        <f t="shared" si="0"/>
        <v>0</v>
      </c>
      <c r="E52" s="288"/>
      <c r="F52" s="287"/>
      <c r="G52" s="383"/>
    </row>
    <row r="53" spans="1:7" s="380" customFormat="1">
      <c r="A53" s="145" t="s">
        <v>155</v>
      </c>
      <c r="B53" s="286">
        <f>'Sources and Uses Budget'!$C52</f>
        <v>700000</v>
      </c>
      <c r="C53" s="286">
        <f>'Sources and Uses Budget'!$C52</f>
        <v>700000</v>
      </c>
      <c r="D53" s="290">
        <f t="shared" si="0"/>
        <v>0</v>
      </c>
      <c r="E53" s="288"/>
      <c r="F53" s="287"/>
      <c r="G53" s="383"/>
    </row>
    <row r="54" spans="1:7" s="380" customFormat="1" ht="36">
      <c r="A54" s="155" t="str">
        <f>'Sources and Uses Budget'!A53</f>
        <v>Other:Taxable Construction Loan interest, Construction service fee and Construction management</v>
      </c>
      <c r="B54" s="286">
        <f>'Sources and Uses Budget'!$C53</f>
        <v>1600000</v>
      </c>
      <c r="C54" s="286">
        <f>'Sources and Uses Budget'!$C53</f>
        <v>1600000</v>
      </c>
      <c r="D54" s="290">
        <f t="shared" si="0"/>
        <v>0</v>
      </c>
      <c r="E54" s="288"/>
      <c r="F54" s="287"/>
      <c r="G54" s="383"/>
    </row>
    <row r="55" spans="1:7" s="381" customFormat="1">
      <c r="A55" s="291" t="s">
        <v>157</v>
      </c>
      <c r="B55" s="293">
        <f>SUM(B46:B54)</f>
        <v>7750000</v>
      </c>
      <c r="C55" s="293">
        <f>SUM(C46:C54)</f>
        <v>7750000</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142000</v>
      </c>
      <c r="C57" s="286">
        <f>'Sources and Uses Budget'!$C56</f>
        <v>142000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0</v>
      </c>
      <c r="C59" s="286">
        <f>'Sources and Uses Budget'!$C58</f>
        <v>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Other:Interest Prior to Conversion</v>
      </c>
      <c r="B62" s="286">
        <f>'Sources and Uses Budget'!$C61</f>
        <v>3100000</v>
      </c>
      <c r="C62" s="286">
        <f>'Sources and Uses Budget'!$C61</f>
        <v>3100000</v>
      </c>
      <c r="D62" s="290">
        <f t="shared" si="0"/>
        <v>0</v>
      </c>
      <c r="E62" s="288"/>
      <c r="F62" s="287"/>
      <c r="G62" s="383"/>
    </row>
    <row r="63" spans="1:7" s="380" customFormat="1" ht="13.7" customHeight="1">
      <c r="A63" s="291" t="s">
        <v>302</v>
      </c>
      <c r="B63" s="290">
        <f>SUM(B57:B62)</f>
        <v>3242000</v>
      </c>
      <c r="C63" s="290">
        <f>SUM(C57:C62)</f>
        <v>3242000</v>
      </c>
      <c r="D63" s="290">
        <f t="shared" si="0"/>
        <v>0</v>
      </c>
      <c r="E63" s="288"/>
      <c r="F63" s="287"/>
      <c r="G63" s="383"/>
    </row>
    <row r="64" spans="1:7" s="380" customFormat="1">
      <c r="A64" s="294" t="s">
        <v>303</v>
      </c>
      <c r="B64" s="290">
        <f>SUM(B9+B12+B14+B15+B17+B26+B28+B39+B43+B44+B55+B63)</f>
        <v>87830374</v>
      </c>
      <c r="C64" s="290">
        <f>SUM(C9+C12+C14+C15+C17+C26+C28+C39+C43+C44+C55+C63)</f>
        <v>87830374</v>
      </c>
      <c r="D64" s="290">
        <f t="shared" si="0"/>
        <v>0</v>
      </c>
      <c r="E64" s="288"/>
      <c r="F64" s="287"/>
      <c r="G64" s="383"/>
    </row>
    <row r="65" spans="1:7" s="380" customFormat="1" ht="24">
      <c r="A65" s="141" t="s">
        <v>1757</v>
      </c>
      <c r="B65" s="284"/>
      <c r="C65" s="284"/>
      <c r="D65" s="284"/>
      <c r="E65" s="303"/>
      <c r="F65" s="284"/>
      <c r="G65" s="383"/>
    </row>
    <row r="66" spans="1:7" s="380" customFormat="1">
      <c r="A66" s="145" t="s">
        <v>171</v>
      </c>
      <c r="B66" s="286">
        <f>'Sources and Uses Budget'!$C65</f>
        <v>150000</v>
      </c>
      <c r="C66" s="286">
        <f>'Sources and Uses Budget'!$C65</f>
        <v>150000</v>
      </c>
      <c r="D66" s="290">
        <f t="shared" si="0"/>
        <v>0</v>
      </c>
      <c r="E66" s="288"/>
      <c r="F66" s="287"/>
      <c r="G66" s="383"/>
    </row>
    <row r="67" spans="1:7" s="380" customFormat="1" ht="24">
      <c r="A67" s="304" t="s">
        <v>1754</v>
      </c>
      <c r="B67" s="286">
        <f>'Sources and Uses Budget'!$C66</f>
        <v>0</v>
      </c>
      <c r="C67" s="286">
        <f>'Sources and Uses Budget'!$C66</f>
        <v>0</v>
      </c>
      <c r="D67" s="290"/>
      <c r="E67" s="288"/>
      <c r="F67" s="287"/>
      <c r="G67" s="383"/>
    </row>
    <row r="68" spans="1:7" s="380" customFormat="1" ht="24">
      <c r="A68" s="304" t="s">
        <v>1755</v>
      </c>
      <c r="B68" s="286">
        <f>'Sources and Uses Budget'!$C67</f>
        <v>0</v>
      </c>
      <c r="C68" s="286">
        <f>'Sources and Uses Budget'!$C67</f>
        <v>0</v>
      </c>
      <c r="D68" s="290"/>
      <c r="E68" s="288"/>
      <c r="F68" s="287"/>
      <c r="G68" s="383"/>
    </row>
    <row r="69" spans="1:7" s="380" customFormat="1">
      <c r="A69" s="304" t="s">
        <v>1761</v>
      </c>
      <c r="B69" s="286">
        <f>'Sources and Uses Budget'!$C68</f>
        <v>0</v>
      </c>
      <c r="C69" s="286">
        <f>'Sources and Uses Budget'!$C68</f>
        <v>0</v>
      </c>
      <c r="D69" s="290"/>
      <c r="E69" s="288"/>
      <c r="F69" s="287"/>
      <c r="G69" s="383"/>
    </row>
    <row r="70" spans="1:7" s="380" customFormat="1">
      <c r="A70" s="155" t="str">
        <f>'Sources and Uses Budget'!A69</f>
        <v>Other: Partnership and Transaction</v>
      </c>
      <c r="B70" s="286">
        <f>'Sources and Uses Budget'!$C69</f>
        <v>240000</v>
      </c>
      <c r="C70" s="286">
        <f>'Sources and Uses Budget'!$C69</f>
        <v>240000</v>
      </c>
      <c r="D70" s="290">
        <f t="shared" si="0"/>
        <v>0</v>
      </c>
      <c r="E70" s="288"/>
      <c r="F70" s="287"/>
      <c r="G70" s="383"/>
    </row>
    <row r="71" spans="1:7" s="380" customFormat="1">
      <c r="A71" s="149" t="s">
        <v>1758</v>
      </c>
      <c r="B71" s="290">
        <f>SUM(B66:B70)</f>
        <v>390000</v>
      </c>
      <c r="C71" s="290">
        <f>SUM(C66:C70)</f>
        <v>390000</v>
      </c>
      <c r="D71" s="290">
        <f t="shared" si="0"/>
        <v>0</v>
      </c>
      <c r="E71" s="288"/>
      <c r="F71" s="287"/>
      <c r="G71" s="383"/>
    </row>
    <row r="72" spans="1:7" s="380" customFormat="1">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0</v>
      </c>
      <c r="C75" s="286">
        <f>'Sources and Uses Budget'!$C74</f>
        <v>0</v>
      </c>
      <c r="D75" s="290">
        <f t="shared" si="0"/>
        <v>0</v>
      </c>
      <c r="E75" s="288"/>
      <c r="F75" s="287"/>
      <c r="G75" s="383"/>
    </row>
    <row r="76" spans="1:7" s="380" customFormat="1">
      <c r="A76" s="289" t="s">
        <v>614</v>
      </c>
      <c r="B76" s="286">
        <f>'Sources and Uses Budget'!$C75</f>
        <v>738000</v>
      </c>
      <c r="C76" s="286">
        <f>'Sources and Uses Budget'!$C75</f>
        <v>738000</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615</v>
      </c>
      <c r="B78" s="290">
        <f>SUM(B73:B77)</f>
        <v>738000</v>
      </c>
      <c r="C78" s="290">
        <f>SUM(C73:C77)</f>
        <v>738000</v>
      </c>
      <c r="D78" s="290">
        <f t="shared" ref="D78:D106" si="1">C78-B78</f>
        <v>0</v>
      </c>
      <c r="E78" s="288"/>
      <c r="F78" s="287"/>
      <c r="G78" s="383"/>
    </row>
    <row r="79" spans="1:7" s="380" customFormat="1">
      <c r="A79" s="284" t="s">
        <v>1317</v>
      </c>
      <c r="B79" s="284"/>
      <c r="C79" s="284"/>
      <c r="D79" s="284"/>
      <c r="E79" s="303"/>
      <c r="F79" s="284"/>
      <c r="G79" s="383"/>
    </row>
    <row r="80" spans="1:7" s="380" customFormat="1">
      <c r="A80" s="544" t="s">
        <v>1319</v>
      </c>
      <c r="B80" s="286">
        <f>'Sources and Uses Budget'!$C79</f>
        <v>5175476</v>
      </c>
      <c r="C80" s="286">
        <f>'Sources and Uses Budget'!$C79</f>
        <v>5175476</v>
      </c>
      <c r="D80" s="290">
        <f t="shared" si="1"/>
        <v>0</v>
      </c>
      <c r="E80" s="288"/>
      <c r="F80" s="287"/>
      <c r="G80" s="383"/>
    </row>
    <row r="81" spans="1:7" s="380" customFormat="1">
      <c r="A81" s="544" t="s">
        <v>58</v>
      </c>
      <c r="B81" s="286">
        <f>'Sources and Uses Budget'!$C80</f>
        <v>813399</v>
      </c>
      <c r="C81" s="286">
        <f>'Sources and Uses Budget'!$C80</f>
        <v>813399</v>
      </c>
      <c r="D81" s="290">
        <f>C81-B81</f>
        <v>0</v>
      </c>
      <c r="E81" s="288"/>
      <c r="F81" s="287"/>
      <c r="G81" s="383"/>
    </row>
    <row r="82" spans="1:7" s="380" customFormat="1">
      <c r="A82" s="291" t="s">
        <v>1316</v>
      </c>
      <c r="B82" s="290">
        <f>SUM(B80:B81)</f>
        <v>5988875</v>
      </c>
      <c r="C82" s="290">
        <f>SUM(C80:C81)</f>
        <v>5988875</v>
      </c>
      <c r="D82" s="290">
        <f t="shared" si="1"/>
        <v>0</v>
      </c>
      <c r="E82" s="288"/>
      <c r="F82" s="287"/>
      <c r="G82" s="383"/>
    </row>
    <row r="83" spans="1:7" s="380" customFormat="1">
      <c r="A83" s="284" t="s">
        <v>775</v>
      </c>
      <c r="B83" s="284"/>
      <c r="C83" s="284"/>
      <c r="D83" s="284"/>
      <c r="E83" s="303"/>
      <c r="F83" s="284"/>
      <c r="G83" s="383"/>
    </row>
    <row r="84" spans="1:7" s="380" customFormat="1" ht="13.7" customHeight="1">
      <c r="A84" s="289" t="s">
        <v>776</v>
      </c>
      <c r="B84" s="286">
        <f>'Sources and Uses Budget'!$C83</f>
        <v>254000</v>
      </c>
      <c r="C84" s="286">
        <f>'Sources and Uses Budget'!$C83</f>
        <v>254000</v>
      </c>
      <c r="D84" s="290">
        <f t="shared" si="1"/>
        <v>0</v>
      </c>
      <c r="E84" s="288"/>
      <c r="F84" s="287"/>
      <c r="G84" s="383"/>
    </row>
    <row r="85" spans="1:7" s="380" customFormat="1">
      <c r="A85" s="289" t="s">
        <v>777</v>
      </c>
      <c r="B85" s="286">
        <f>'Sources and Uses Budget'!$C84</f>
        <v>50000</v>
      </c>
      <c r="C85" s="286">
        <f>'Sources and Uses Budget'!$C84</f>
        <v>50000</v>
      </c>
      <c r="D85" s="290">
        <f t="shared" si="1"/>
        <v>0</v>
      </c>
      <c r="E85" s="288"/>
      <c r="F85" s="287"/>
      <c r="G85" s="383"/>
    </row>
    <row r="86" spans="1:7" s="380" customFormat="1">
      <c r="A86" s="289" t="s">
        <v>778</v>
      </c>
      <c r="B86" s="286">
        <f>'Sources and Uses Budget'!$C85</f>
        <v>716489</v>
      </c>
      <c r="C86" s="286">
        <f>'Sources and Uses Budget'!$C85</f>
        <v>716489</v>
      </c>
      <c r="D86" s="290">
        <f t="shared" si="1"/>
        <v>0</v>
      </c>
      <c r="E86" s="288"/>
      <c r="F86" s="287"/>
      <c r="G86" s="383"/>
    </row>
    <row r="87" spans="1:7" s="380" customFormat="1">
      <c r="A87" s="289" t="s">
        <v>779</v>
      </c>
      <c r="B87" s="286">
        <f>'Sources and Uses Budget'!$C86</f>
        <v>363511</v>
      </c>
      <c r="C87" s="286">
        <f>'Sources and Uses Budget'!$C86</f>
        <v>363511</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30000</v>
      </c>
      <c r="C89" s="286">
        <f>'Sources and Uses Budget'!$C88</f>
        <v>30000</v>
      </c>
      <c r="D89" s="290">
        <f t="shared" si="1"/>
        <v>0</v>
      </c>
      <c r="E89" s="288"/>
      <c r="F89" s="287"/>
      <c r="G89" s="383"/>
    </row>
    <row r="90" spans="1:7" s="380" customFormat="1">
      <c r="A90" s="289" t="s">
        <v>782</v>
      </c>
      <c r="B90" s="286">
        <f>'Sources and Uses Budget'!$C89</f>
        <v>475000</v>
      </c>
      <c r="C90" s="286">
        <f>'Sources and Uses Budget'!$C89</f>
        <v>475000</v>
      </c>
      <c r="D90" s="290">
        <f t="shared" si="1"/>
        <v>0</v>
      </c>
      <c r="E90" s="288"/>
      <c r="F90" s="287"/>
      <c r="G90" s="383"/>
    </row>
    <row r="91" spans="1:7" s="380" customFormat="1">
      <c r="A91" s="289" t="s">
        <v>783</v>
      </c>
      <c r="B91" s="286">
        <f>'Sources and Uses Budget'!$C90</f>
        <v>12000</v>
      </c>
      <c r="C91" s="286">
        <f>'Sources and Uses Budget'!$C90</f>
        <v>12000</v>
      </c>
      <c r="D91" s="290">
        <f t="shared" si="1"/>
        <v>0</v>
      </c>
      <c r="E91" s="288"/>
      <c r="F91" s="287"/>
      <c r="G91" s="383"/>
    </row>
    <row r="92" spans="1:7" s="380" customFormat="1">
      <c r="A92" s="289" t="s">
        <v>373</v>
      </c>
      <c r="B92" s="286">
        <f>'Sources and Uses Budget'!$C91</f>
        <v>60000</v>
      </c>
      <c r="C92" s="286">
        <f>'Sources and Uses Budget'!$C91</f>
        <v>60000</v>
      </c>
      <c r="D92" s="290">
        <f t="shared" si="1"/>
        <v>0</v>
      </c>
      <c r="E92" s="288"/>
      <c r="F92" s="287"/>
      <c r="G92" s="383"/>
    </row>
    <row r="93" spans="1:7" s="380" customFormat="1">
      <c r="A93" s="544" t="s">
        <v>1318</v>
      </c>
      <c r="B93" s="286">
        <f>'Sources and Uses Budget'!$C92</f>
        <v>10000</v>
      </c>
      <c r="C93" s="286">
        <f>'Sources and Uses Budget'!$C92</f>
        <v>10000</v>
      </c>
      <c r="D93" s="290">
        <f t="shared" si="1"/>
        <v>0</v>
      </c>
      <c r="E93" s="288"/>
      <c r="F93" s="287"/>
      <c r="G93" s="383"/>
    </row>
    <row r="94" spans="1:7" s="380" customFormat="1">
      <c r="A94" s="292" t="s">
        <v>34</v>
      </c>
      <c r="B94" s="286">
        <f>'Sources and Uses Budget'!$C93</f>
        <v>50000</v>
      </c>
      <c r="C94" s="286">
        <f>'Sources and Uses Budget'!$C93</f>
        <v>50000</v>
      </c>
      <c r="D94" s="290">
        <f t="shared" si="1"/>
        <v>0</v>
      </c>
      <c r="E94" s="288"/>
      <c r="F94" s="287"/>
      <c r="G94" s="383"/>
    </row>
    <row r="95" spans="1:7" s="380" customFormat="1">
      <c r="A95" s="292" t="s">
        <v>34</v>
      </c>
      <c r="B95" s="286">
        <f>'Sources and Uses Budget'!$C94</f>
        <v>75000</v>
      </c>
      <c r="C95" s="286">
        <f>'Sources and Uses Budget'!$C94</f>
        <v>75000</v>
      </c>
      <c r="D95" s="290">
        <f t="shared" si="1"/>
        <v>0</v>
      </c>
      <c r="E95" s="288"/>
      <c r="F95" s="287"/>
      <c r="G95" s="383"/>
    </row>
    <row r="96" spans="1:7" s="380" customFormat="1">
      <c r="A96" s="292" t="s">
        <v>34</v>
      </c>
      <c r="B96" s="286">
        <f>'Sources and Uses Budget'!$C95</f>
        <v>4000</v>
      </c>
      <c r="C96" s="286">
        <f>'Sources and Uses Budget'!$C95</f>
        <v>4000</v>
      </c>
      <c r="D96" s="290">
        <f t="shared" si="1"/>
        <v>0</v>
      </c>
      <c r="E96" s="288"/>
      <c r="F96" s="287"/>
      <c r="G96" s="383"/>
    </row>
    <row r="97" spans="1:7" s="380" customFormat="1">
      <c r="A97" s="291" t="s">
        <v>784</v>
      </c>
      <c r="B97" s="290">
        <f>SUM(B84:B96)</f>
        <v>2100000</v>
      </c>
      <c r="C97" s="290">
        <f>SUM(C84:C96)</f>
        <v>2100000</v>
      </c>
      <c r="D97" s="290">
        <f t="shared" si="1"/>
        <v>0</v>
      </c>
      <c r="E97" s="288"/>
      <c r="F97" s="287"/>
      <c r="G97" s="383"/>
    </row>
    <row r="98" spans="1:7" s="380" customFormat="1">
      <c r="A98" s="291" t="s">
        <v>785</v>
      </c>
      <c r="B98" s="290">
        <f>SUM(B64+B71+B78+B82+B97)</f>
        <v>97047249</v>
      </c>
      <c r="C98" s="290">
        <f>SUM(C64+C71+C78+C82+C97)</f>
        <v>97047249</v>
      </c>
      <c r="D98" s="290">
        <f t="shared" si="1"/>
        <v>0</v>
      </c>
      <c r="E98" s="288"/>
      <c r="F98" s="287"/>
      <c r="G98" s="383"/>
    </row>
    <row r="99" spans="1:7" s="380" customFormat="1">
      <c r="A99" s="284" t="s">
        <v>786</v>
      </c>
      <c r="B99" s="284"/>
      <c r="C99" s="284"/>
      <c r="D99" s="284"/>
      <c r="E99" s="303"/>
      <c r="F99" s="284"/>
      <c r="G99" s="383"/>
    </row>
    <row r="100" spans="1:7" s="380" customFormat="1">
      <c r="A100" s="145" t="s">
        <v>787</v>
      </c>
      <c r="B100" s="286">
        <f>'Sources and Uses Budget'!$C99</f>
        <v>11498079</v>
      </c>
      <c r="C100" s="286">
        <f>'Sources and Uses Budget'!$C99</f>
        <v>11498079</v>
      </c>
      <c r="D100" s="290">
        <f t="shared" si="1"/>
        <v>0</v>
      </c>
      <c r="E100" s="288"/>
      <c r="F100" s="287"/>
      <c r="G100" s="383"/>
    </row>
    <row r="101" spans="1:7" s="380" customFormat="1">
      <c r="A101" s="304" t="s">
        <v>1759</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1760</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789</v>
      </c>
      <c r="B105" s="290">
        <f>SUM(B100:B104)</f>
        <v>11498079</v>
      </c>
      <c r="C105" s="290">
        <f>SUM(C100:C104)</f>
        <v>11498079</v>
      </c>
      <c r="D105" s="290">
        <f t="shared" si="1"/>
        <v>0</v>
      </c>
      <c r="E105" s="288"/>
      <c r="F105" s="287"/>
      <c r="G105" s="383"/>
    </row>
    <row r="106" spans="1:7" s="380" customFormat="1">
      <c r="A106" s="291" t="s">
        <v>790</v>
      </c>
      <c r="B106" s="293">
        <f>SUM(B98+B105)</f>
        <v>108545328</v>
      </c>
      <c r="C106" s="293">
        <f>SUM(C98+C105)</f>
        <v>108545328</v>
      </c>
      <c r="D106" s="290">
        <f t="shared" si="1"/>
        <v>0</v>
      </c>
      <c r="E106" s="288"/>
      <c r="F106" s="287"/>
      <c r="G106" s="383"/>
    </row>
    <row r="107" spans="1:7" s="380" customFormat="1">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10" t="s">
        <v>1069</v>
      </c>
      <c r="B2" s="1310"/>
      <c r="C2" s="1274"/>
      <c r="D2" s="1274"/>
      <c r="E2" s="1274"/>
      <c r="F2" s="1274"/>
      <c r="G2" s="1274"/>
    </row>
    <row r="3" spans="1:9" s="173" customFormat="1">
      <c r="A3" s="1310" t="s">
        <v>1010</v>
      </c>
      <c r="B3" s="1310"/>
      <c r="C3" s="1274"/>
      <c r="D3" s="1274"/>
      <c r="E3" s="1274"/>
      <c r="F3" s="1274"/>
      <c r="G3" s="1274"/>
      <c r="I3" t="s">
        <v>308</v>
      </c>
    </row>
    <row r="4" spans="1:9">
      <c r="I4" s="3" t="s">
        <v>1070</v>
      </c>
    </row>
    <row r="5" spans="1:9">
      <c r="A5" s="1312" t="s">
        <v>1011</v>
      </c>
      <c r="B5" s="1312"/>
      <c r="C5" s="1274"/>
      <c r="D5" s="1274"/>
      <c r="E5" s="1274"/>
      <c r="F5" s="1274"/>
      <c r="G5" s="1274"/>
      <c r="I5" s="3" t="s">
        <v>1071</v>
      </c>
    </row>
    <row r="6" spans="1:9">
      <c r="A6" s="1312" t="s">
        <v>829</v>
      </c>
      <c r="B6" s="1312"/>
      <c r="C6" s="1274"/>
      <c r="D6" s="1274"/>
      <c r="E6" s="1274"/>
      <c r="F6" s="1274"/>
      <c r="G6" s="1274"/>
      <c r="I6" t="s">
        <v>600</v>
      </c>
    </row>
    <row r="7" spans="1:9" ht="11.85" customHeight="1"/>
    <row r="8" spans="1:9">
      <c r="A8" s="1310" t="s">
        <v>1166</v>
      </c>
      <c r="B8" s="1310"/>
      <c r="C8" s="1311"/>
      <c r="D8" s="1311"/>
      <c r="E8" s="1311"/>
      <c r="F8" s="1311"/>
      <c r="G8" s="1311"/>
    </row>
    <row r="9" spans="1:9">
      <c r="A9" s="1310" t="s">
        <v>1167</v>
      </c>
      <c r="B9" s="1310"/>
      <c r="C9" s="1311"/>
      <c r="D9" s="1311"/>
      <c r="E9" s="1311"/>
      <c r="F9" s="1311"/>
      <c r="G9" s="1311"/>
    </row>
    <row r="10" spans="1:9">
      <c r="A10" s="174"/>
      <c r="B10" s="174"/>
      <c r="C10" s="172"/>
      <c r="D10" s="172"/>
      <c r="E10" s="172"/>
      <c r="F10" s="172"/>
    </row>
    <row r="11" spans="1:9">
      <c r="A11" s="1293" t="s">
        <v>1169</v>
      </c>
      <c r="B11" s="1293"/>
      <c r="C11" s="1293"/>
      <c r="D11" s="1293"/>
      <c r="E11" s="1293"/>
      <c r="F11" s="1293"/>
      <c r="G11" s="1293"/>
    </row>
    <row r="12" spans="1:9">
      <c r="A12" s="172"/>
      <c r="B12" s="172"/>
      <c r="E12" s="2"/>
    </row>
    <row r="13" spans="1:9" ht="13.15" customHeight="1">
      <c r="C13" s="172"/>
      <c r="D13" s="1295" t="s">
        <v>1168</v>
      </c>
      <c r="E13" s="1295"/>
      <c r="F13" s="1295"/>
    </row>
    <row r="14" spans="1:9">
      <c r="C14" s="172"/>
      <c r="D14" s="1295"/>
      <c r="E14" s="1295"/>
      <c r="F14" s="1295"/>
    </row>
    <row r="15" spans="1:9">
      <c r="A15" s="175"/>
      <c r="B15" s="175"/>
      <c r="C15" s="175"/>
      <c r="D15" s="1292" t="s">
        <v>1151</v>
      </c>
      <c r="E15" s="1292"/>
      <c r="F15" s="1292"/>
    </row>
    <row r="16" spans="1:9">
      <c r="A16" s="175"/>
      <c r="B16" s="175"/>
      <c r="C16" s="175"/>
      <c r="D16" s="218"/>
    </row>
    <row r="17" spans="1:6" ht="14.25">
      <c r="A17" s="176"/>
      <c r="B17" s="468" t="s">
        <v>308</v>
      </c>
      <c r="C17" s="175"/>
      <c r="D17" s="1272" t="s">
        <v>1152</v>
      </c>
      <c r="E17" s="1272"/>
      <c r="F17" s="1272"/>
    </row>
    <row r="18" spans="1:6">
      <c r="A18" s="175"/>
      <c r="B18" s="175"/>
      <c r="C18" s="175"/>
      <c r="D18" s="1272"/>
      <c r="E18" s="1272"/>
      <c r="F18" s="1272"/>
    </row>
    <row r="19" spans="1:6">
      <c r="A19" s="175"/>
      <c r="B19" s="175"/>
      <c r="C19" s="175"/>
      <c r="D19" s="1272"/>
      <c r="E19" s="1272"/>
      <c r="F19" s="1272"/>
    </row>
    <row r="20" spans="1:6">
      <c r="A20" s="175"/>
      <c r="B20" s="175"/>
      <c r="C20" s="175"/>
    </row>
    <row r="21" spans="1:6" ht="14.25">
      <c r="A21" s="176"/>
      <c r="B21" s="468" t="s">
        <v>308</v>
      </c>
      <c r="D21" s="1296" t="s">
        <v>1153</v>
      </c>
      <c r="E21" s="1296"/>
      <c r="F21" s="1296"/>
    </row>
    <row r="22" spans="1:6" ht="14.25">
      <c r="A22" s="176"/>
      <c r="B22" s="176"/>
      <c r="D22" s="35"/>
    </row>
    <row r="23" spans="1:6" ht="14.25">
      <c r="A23" s="176"/>
      <c r="B23" s="468" t="s">
        <v>308</v>
      </c>
      <c r="D23" s="1272" t="s">
        <v>1154</v>
      </c>
      <c r="E23" s="1272"/>
      <c r="F23" s="1272"/>
    </row>
    <row r="24" spans="1:6" ht="14.25">
      <c r="A24" s="176"/>
      <c r="B24" s="176"/>
      <c r="D24" s="1272"/>
      <c r="E24" s="1272"/>
      <c r="F24" s="1272"/>
    </row>
    <row r="25" spans="1:6"/>
    <row r="26" spans="1:6" ht="14.25">
      <c r="A26" s="176"/>
      <c r="B26" s="468" t="s">
        <v>308</v>
      </c>
      <c r="D26" s="1272" t="s">
        <v>1155</v>
      </c>
      <c r="E26" s="1272"/>
      <c r="F26" s="1272"/>
    </row>
    <row r="27" spans="1:6">
      <c r="D27" s="1272"/>
      <c r="E27" s="1272"/>
      <c r="F27" s="1272"/>
    </row>
    <row r="28" spans="1:6">
      <c r="D28" s="1272"/>
      <c r="E28" s="1272"/>
      <c r="F28" s="1272"/>
    </row>
    <row r="29" spans="1:6">
      <c r="D29" s="1272"/>
      <c r="E29" s="1272"/>
      <c r="F29" s="1272"/>
    </row>
    <row r="30" spans="1:6">
      <c r="D30" s="1272"/>
      <c r="E30" s="1272"/>
      <c r="F30" s="1272"/>
    </row>
    <row r="31" spans="1:6">
      <c r="D31" s="220"/>
    </row>
    <row r="32" spans="1:6">
      <c r="B32" s="468" t="s">
        <v>308</v>
      </c>
      <c r="D32" s="1272" t="s">
        <v>1156</v>
      </c>
      <c r="E32" s="1272"/>
      <c r="F32" s="1272"/>
    </row>
    <row r="33" spans="1:6">
      <c r="D33" s="1272"/>
      <c r="E33" s="1272"/>
      <c r="F33" s="1272"/>
    </row>
    <row r="34" spans="1:6" ht="14.25">
      <c r="A34" s="176"/>
      <c r="B34" s="176"/>
      <c r="D34" s="220"/>
    </row>
    <row r="35" spans="1:6" ht="14.45" customHeight="1">
      <c r="A35" s="176"/>
      <c r="B35" s="468" t="s">
        <v>308</v>
      </c>
      <c r="D35" s="1272" t="s">
        <v>1157</v>
      </c>
      <c r="E35" s="1272"/>
      <c r="F35" s="1272"/>
    </row>
    <row r="36" spans="1:6" ht="14.25">
      <c r="A36" s="176"/>
      <c r="B36" s="176"/>
      <c r="D36" s="1272"/>
      <c r="E36" s="1272"/>
      <c r="F36" s="1272"/>
    </row>
    <row r="37" spans="1:6" ht="14.25">
      <c r="A37" s="176"/>
      <c r="B37" s="176"/>
      <c r="D37" s="1272"/>
      <c r="E37" s="1272"/>
      <c r="F37" s="1272"/>
    </row>
    <row r="38" spans="1:6" ht="14.25">
      <c r="A38" s="176"/>
      <c r="B38" s="176"/>
      <c r="D38"/>
    </row>
    <row r="39" spans="1:6" ht="14.25">
      <c r="A39" s="176"/>
      <c r="B39" s="468" t="s">
        <v>308</v>
      </c>
      <c r="D39" s="1272" t="s">
        <v>1158</v>
      </c>
      <c r="E39" s="1272"/>
      <c r="F39" s="1272"/>
    </row>
    <row r="40" spans="1:6" ht="14.25">
      <c r="A40" s="176"/>
      <c r="B40" s="176"/>
      <c r="D40" s="1272"/>
      <c r="E40" s="1272"/>
      <c r="F40" s="1272"/>
    </row>
    <row r="41" spans="1:6" ht="14.25">
      <c r="A41" s="176"/>
      <c r="B41" s="176"/>
      <c r="D41" s="1272"/>
      <c r="E41" s="1272"/>
      <c r="F41" s="1272"/>
    </row>
    <row r="42" spans="1:6" ht="14.25">
      <c r="A42" s="176"/>
      <c r="B42" s="176"/>
      <c r="D42" s="1272"/>
      <c r="E42" s="1272"/>
      <c r="F42" s="1272"/>
    </row>
    <row r="43" spans="1:6" ht="14.25">
      <c r="A43" s="176"/>
      <c r="B43" s="176"/>
      <c r="D43" s="1272"/>
      <c r="E43" s="1272"/>
      <c r="F43" s="1272"/>
    </row>
    <row r="44" spans="1:6" ht="14.25">
      <c r="A44" s="176"/>
      <c r="B44" s="176"/>
      <c r="D44" s="474"/>
      <c r="E44" s="474"/>
      <c r="F44" s="474"/>
    </row>
    <row r="45" spans="1:6" ht="14.25">
      <c r="A45" s="176"/>
      <c r="B45" s="468" t="s">
        <v>308</v>
      </c>
      <c r="D45" s="1272" t="s">
        <v>1159</v>
      </c>
      <c r="E45" s="1272"/>
      <c r="F45" s="1272"/>
    </row>
    <row r="46" spans="1:6" ht="14.25">
      <c r="A46" s="176"/>
      <c r="B46" s="176"/>
      <c r="D46" s="1272"/>
      <c r="E46" s="1272"/>
      <c r="F46" s="1272"/>
    </row>
    <row r="47" spans="1:6" ht="14.25">
      <c r="A47" s="176"/>
      <c r="B47" s="176"/>
      <c r="D47" s="1272"/>
      <c r="E47" s="1272"/>
      <c r="F47" s="1272"/>
    </row>
    <row r="48" spans="1:6" ht="23.25" customHeight="1">
      <c r="A48" s="176"/>
      <c r="B48" s="176"/>
      <c r="D48" s="1272"/>
      <c r="E48" s="1272"/>
      <c r="F48" s="1272"/>
    </row>
    <row r="49" spans="1:7" ht="14.25">
      <c r="A49" s="176"/>
      <c r="B49" s="176"/>
      <c r="D49" s="35"/>
    </row>
    <row r="50" spans="1:7" ht="14.45" customHeight="1">
      <c r="A50" s="176"/>
      <c r="B50" s="468" t="s">
        <v>308</v>
      </c>
      <c r="D50" s="1272" t="s">
        <v>1160</v>
      </c>
      <c r="E50" s="1272"/>
      <c r="F50" s="1272"/>
    </row>
    <row r="51" spans="1:7" ht="14.25">
      <c r="A51" s="176"/>
      <c r="B51" s="176"/>
      <c r="D51" s="1272"/>
      <c r="E51" s="1272"/>
      <c r="F51" s="1272"/>
    </row>
    <row r="52" spans="1:7" ht="14.25">
      <c r="A52" s="176"/>
      <c r="B52" s="176"/>
      <c r="D52" s="1272"/>
      <c r="E52" s="1272"/>
      <c r="F52" s="1272"/>
    </row>
    <row r="53" spans="1:7" ht="14.25">
      <c r="A53" s="176"/>
      <c r="B53" s="176"/>
      <c r="C53" s="385"/>
      <c r="D53" s="3"/>
      <c r="E53" s="3"/>
      <c r="F53" s="3"/>
      <c r="G53" s="3"/>
    </row>
    <row r="54" spans="1:7" ht="14.25">
      <c r="A54" s="176"/>
      <c r="B54" s="468" t="s">
        <v>308</v>
      </c>
      <c r="C54" s="385"/>
      <c r="D54" s="1272" t="s">
        <v>1161</v>
      </c>
      <c r="E54" s="1272"/>
      <c r="F54" s="1272"/>
      <c r="G54" s="3"/>
    </row>
    <row r="55" spans="1:7" ht="14.25">
      <c r="A55" s="176"/>
      <c r="B55" s="176"/>
      <c r="C55" s="385"/>
      <c r="D55" s="1272"/>
      <c r="E55" s="1272"/>
      <c r="F55" s="1272"/>
      <c r="G55" s="3"/>
    </row>
    <row r="56" spans="1:7">
      <c r="D56" s="220"/>
    </row>
    <row r="57" spans="1:7" ht="14.25">
      <c r="A57" s="176"/>
      <c r="B57" s="468" t="s">
        <v>308</v>
      </c>
      <c r="D57" s="1272" t="s">
        <v>1162</v>
      </c>
      <c r="E57" s="1272"/>
      <c r="F57" s="1272"/>
    </row>
    <row r="58" spans="1:7">
      <c r="D58" s="1272"/>
      <c r="E58" s="1272"/>
      <c r="F58" s="1272"/>
    </row>
    <row r="59" spans="1:7">
      <c r="D59" s="1272"/>
      <c r="E59" s="1272"/>
      <c r="F59" s="1272"/>
    </row>
    <row r="60" spans="1:7">
      <c r="D60" s="3"/>
    </row>
    <row r="61" spans="1:7" ht="14.25">
      <c r="A61" s="176"/>
      <c r="B61" s="468" t="s">
        <v>308</v>
      </c>
      <c r="D61" s="1272" t="s">
        <v>1163</v>
      </c>
      <c r="E61" s="1272"/>
      <c r="F61" s="1272"/>
    </row>
    <row r="62" spans="1:7">
      <c r="D62" s="1272"/>
      <c r="E62" s="1272"/>
      <c r="F62" s="1272"/>
    </row>
    <row r="63" spans="1:7"/>
    <row r="64" spans="1:7" ht="14.25">
      <c r="A64" s="176"/>
      <c r="B64" s="468" t="s">
        <v>308</v>
      </c>
      <c r="D64" s="1272" t="s">
        <v>1164</v>
      </c>
      <c r="E64" s="1272"/>
      <c r="F64" s="1272"/>
    </row>
    <row r="65" spans="1:7">
      <c r="D65" s="1272"/>
      <c r="E65" s="1272"/>
      <c r="F65" s="1272"/>
    </row>
    <row r="66" spans="1:7">
      <c r="D66" s="1272"/>
      <c r="E66" s="1272"/>
      <c r="F66" s="1272"/>
    </row>
    <row r="67" spans="1:7">
      <c r="D67"/>
    </row>
    <row r="68" spans="1:7" ht="14.25">
      <c r="A68" s="176"/>
      <c r="B68" s="468" t="s">
        <v>308</v>
      </c>
      <c r="D68" s="1272" t="s">
        <v>1165</v>
      </c>
      <c r="E68" s="1272"/>
      <c r="F68" s="1272"/>
    </row>
    <row r="69" spans="1:7">
      <c r="D69" s="1272"/>
      <c r="E69" s="1272"/>
      <c r="F69" s="1272"/>
    </row>
    <row r="70" spans="1:7" ht="14.25">
      <c r="A70" s="176"/>
      <c r="B70" s="176"/>
      <c r="D70" s="35"/>
    </row>
    <row r="71" spans="1:7">
      <c r="A71" s="1293" t="s">
        <v>1072</v>
      </c>
      <c r="B71" s="1293"/>
      <c r="C71" s="1293"/>
      <c r="D71" s="1293"/>
      <c r="E71" s="1293"/>
      <c r="F71" s="1293"/>
      <c r="G71" s="1293"/>
    </row>
    <row r="72" spans="1:7"/>
    <row r="73" spans="1:7">
      <c r="C73" s="177"/>
      <c r="D73" s="1304" t="s">
        <v>1170</v>
      </c>
      <c r="E73" s="1304"/>
      <c r="F73" s="1304"/>
    </row>
    <row r="74" spans="1:7">
      <c r="A74" s="35"/>
      <c r="B74" s="35"/>
      <c r="D74" s="1272" t="s">
        <v>1197</v>
      </c>
      <c r="E74" s="1272"/>
      <c r="F74" s="1272"/>
    </row>
    <row r="75" spans="1:7">
      <c r="A75" s="35"/>
      <c r="B75" s="35"/>
    </row>
    <row r="76" spans="1:7" ht="14.25">
      <c r="A76" s="176"/>
      <c r="B76" s="468" t="s">
        <v>308</v>
      </c>
      <c r="D76" s="1272" t="s">
        <v>1171</v>
      </c>
      <c r="E76" s="1272"/>
      <c r="F76" s="1272"/>
    </row>
    <row r="77" spans="1:7" ht="14.25">
      <c r="A77" s="176"/>
      <c r="B77" s="176"/>
      <c r="D77" s="1272"/>
      <c r="E77" s="1272"/>
      <c r="F77" s="1272"/>
    </row>
    <row r="78" spans="1:7" ht="14.25">
      <c r="A78" s="176"/>
      <c r="B78" s="176"/>
      <c r="D78" s="1272"/>
      <c r="E78" s="1272"/>
      <c r="F78" s="1272"/>
    </row>
    <row r="79" spans="1:7" ht="14.25">
      <c r="A79" s="176"/>
      <c r="B79" s="176"/>
      <c r="D79" s="1272"/>
      <c r="E79" s="1272"/>
      <c r="F79" s="1272"/>
    </row>
    <row r="80" spans="1:7" ht="14.25">
      <c r="A80" s="176"/>
      <c r="B80" s="176"/>
      <c r="D80" s="1272"/>
      <c r="E80" s="1272"/>
      <c r="F80" s="1272"/>
    </row>
    <row r="81" spans="1:6" ht="14.25">
      <c r="A81" s="176"/>
      <c r="B81" s="176"/>
      <c r="D81" s="1272"/>
      <c r="E81" s="1272"/>
      <c r="F81" s="1272"/>
    </row>
    <row r="82" spans="1:6" ht="14.25">
      <c r="A82" s="176"/>
      <c r="B82" s="176"/>
      <c r="D82" s="474"/>
      <c r="E82" s="474"/>
      <c r="F82" s="474"/>
    </row>
    <row r="83" spans="1:6" ht="14.45" customHeight="1">
      <c r="A83" s="176"/>
      <c r="B83" s="468" t="s">
        <v>308</v>
      </c>
      <c r="D83" s="1275" t="s">
        <v>1270</v>
      </c>
      <c r="E83" s="1275"/>
      <c r="F83" s="1275"/>
    </row>
    <row r="84" spans="1:6" ht="14.25">
      <c r="A84" s="176"/>
      <c r="B84" s="176"/>
      <c r="D84" s="1275"/>
      <c r="E84" s="1275"/>
      <c r="F84" s="1275"/>
    </row>
    <row r="85" spans="1:6" ht="14.25">
      <c r="A85" s="176"/>
      <c r="B85" s="176"/>
      <c r="D85" s="1275"/>
      <c r="E85" s="1275"/>
      <c r="F85" s="1275"/>
    </row>
    <row r="86" spans="1:6" ht="14.25">
      <c r="A86" s="176"/>
      <c r="B86" s="176"/>
      <c r="D86" s="1275"/>
      <c r="E86" s="1275"/>
      <c r="F86" s="1275"/>
    </row>
    <row r="87" spans="1:6" ht="14.25">
      <c r="A87" s="176"/>
      <c r="B87" s="176"/>
      <c r="D87" s="1275"/>
      <c r="E87" s="1275"/>
      <c r="F87" s="1275"/>
    </row>
    <row r="88" spans="1:6" ht="14.25">
      <c r="A88" s="176"/>
      <c r="B88" s="176"/>
      <c r="D88" s="1275"/>
      <c r="E88" s="1275"/>
      <c r="F88" s="1275"/>
    </row>
    <row r="89" spans="1:6" ht="14.25">
      <c r="A89" s="176"/>
      <c r="B89" s="176"/>
      <c r="D89" s="1275"/>
      <c r="E89" s="1275"/>
      <c r="F89" s="1275"/>
    </row>
    <row r="90" spans="1:6" ht="14.25">
      <c r="A90" s="176"/>
      <c r="B90" s="176"/>
      <c r="D90" s="1275"/>
      <c r="E90" s="1275"/>
      <c r="F90" s="1275"/>
    </row>
    <row r="91" spans="1:6" ht="14.25">
      <c r="A91" s="176"/>
      <c r="B91" s="176"/>
      <c r="D91" s="1275"/>
      <c r="E91" s="1275"/>
      <c r="F91" s="1275"/>
    </row>
    <row r="92" spans="1:6" ht="14.25">
      <c r="A92" s="176"/>
      <c r="B92" s="176"/>
      <c r="D92" s="1275"/>
      <c r="E92" s="1275"/>
      <c r="F92" s="1275"/>
    </row>
    <row r="93" spans="1:6" ht="14.25">
      <c r="A93" s="176"/>
      <c r="B93" s="176"/>
      <c r="D93" s="1275"/>
      <c r="E93" s="1275"/>
      <c r="F93" s="1275"/>
    </row>
    <row r="94" spans="1:6" ht="14.25">
      <c r="A94" s="176"/>
      <c r="B94" s="176"/>
      <c r="D94" s="1275"/>
      <c r="E94" s="1275"/>
      <c r="F94" s="1275"/>
    </row>
    <row r="95" spans="1:6" ht="14.25">
      <c r="A95" s="176"/>
      <c r="B95" s="176"/>
      <c r="D95" s="1275"/>
      <c r="E95" s="1275"/>
      <c r="F95" s="1275"/>
    </row>
    <row r="96" spans="1:6" ht="14.25">
      <c r="A96" s="176"/>
      <c r="B96" s="176"/>
      <c r="D96" s="1275"/>
      <c r="E96" s="1275"/>
      <c r="F96" s="1275"/>
    </row>
    <row r="97" spans="1:11" ht="14.25">
      <c r="A97" s="176"/>
      <c r="B97" s="468" t="s">
        <v>308</v>
      </c>
      <c r="D97" s="1272" t="s">
        <v>1172</v>
      </c>
      <c r="E97" s="1272"/>
      <c r="F97" s="1272"/>
    </row>
    <row r="98" spans="1:11" ht="14.25">
      <c r="A98" s="176"/>
      <c r="B98" s="176"/>
      <c r="D98" s="1272"/>
      <c r="E98" s="1272"/>
      <c r="F98" s="1272"/>
    </row>
    <row r="99" spans="1:11" ht="14.25">
      <c r="A99" s="176"/>
      <c r="B99" s="176"/>
      <c r="D99" s="1272"/>
      <c r="E99" s="1272"/>
      <c r="F99" s="1272"/>
    </row>
    <row r="100" spans="1:11" ht="14.25">
      <c r="A100" s="176"/>
      <c r="B100" s="176"/>
      <c r="D100" s="1272"/>
      <c r="E100" s="1272"/>
      <c r="F100" s="1272"/>
    </row>
    <row r="101" spans="1:11" ht="14.25">
      <c r="A101" s="176"/>
      <c r="B101" s="176"/>
      <c r="D101" s="1272"/>
      <c r="E101" s="1272"/>
      <c r="F101" s="1272"/>
    </row>
    <row r="102" spans="1:11" ht="14.25">
      <c r="A102" s="176"/>
      <c r="B102" s="176"/>
      <c r="D102" s="1272"/>
      <c r="E102" s="1272"/>
      <c r="F102" s="1272"/>
    </row>
    <row r="103" spans="1:11" ht="14.25">
      <c r="A103" s="176"/>
      <c r="B103" s="176"/>
      <c r="D103" s="1272"/>
      <c r="E103" s="1272"/>
      <c r="F103" s="1272"/>
    </row>
    <row r="104" spans="1:11" ht="14.25">
      <c r="A104" s="176"/>
      <c r="B104" s="176"/>
      <c r="D104" s="1272"/>
      <c r="E104" s="1272"/>
      <c r="F104" s="1272"/>
    </row>
    <row r="105" spans="1:11" ht="14.25">
      <c r="A105" s="176"/>
      <c r="B105" s="176"/>
      <c r="D105" s="474"/>
      <c r="E105" s="474"/>
      <c r="F105" s="474"/>
    </row>
    <row r="106" spans="1:11" ht="14.25">
      <c r="A106" s="176"/>
      <c r="B106" s="468" t="s">
        <v>308</v>
      </c>
      <c r="C106" s="179"/>
      <c r="D106" s="1313" t="s">
        <v>1173</v>
      </c>
      <c r="E106" s="1313"/>
      <c r="F106" s="1313"/>
      <c r="G106" s="183"/>
      <c r="H106" s="181"/>
      <c r="I106" s="181"/>
      <c r="J106" s="181"/>
      <c r="K106" s="181"/>
    </row>
    <row r="107" spans="1:11" ht="14.25">
      <c r="A107" s="176"/>
      <c r="B107" s="176"/>
      <c r="C107" s="179"/>
      <c r="D107" s="1313"/>
      <c r="E107" s="1313"/>
      <c r="F107" s="1313"/>
      <c r="G107" s="183"/>
      <c r="H107" s="181"/>
      <c r="I107" s="181"/>
      <c r="J107" s="181"/>
      <c r="K107" s="181"/>
    </row>
    <row r="108" spans="1:11" ht="14.25">
      <c r="A108" s="176"/>
      <c r="B108" s="176"/>
      <c r="C108" s="179"/>
      <c r="D108" s="1313"/>
      <c r="E108" s="1313"/>
      <c r="F108" s="1313"/>
      <c r="G108" s="183"/>
      <c r="H108" s="181"/>
      <c r="I108" s="181"/>
      <c r="J108" s="181"/>
      <c r="K108" s="181"/>
    </row>
    <row r="109" spans="1:11" ht="14.25">
      <c r="A109" s="176"/>
      <c r="B109" s="176"/>
      <c r="C109" s="179"/>
      <c r="D109" s="1313"/>
      <c r="E109" s="1313"/>
      <c r="F109" s="1313"/>
      <c r="G109" s="183"/>
      <c r="H109" s="181"/>
      <c r="I109" s="181"/>
      <c r="J109" s="181"/>
      <c r="K109" s="181"/>
    </row>
    <row r="110" spans="1:11" ht="14.25">
      <c r="A110" s="176"/>
      <c r="B110" s="176"/>
      <c r="C110" s="179"/>
      <c r="D110" s="1313"/>
      <c r="E110" s="1313"/>
      <c r="F110" s="1313"/>
      <c r="G110" s="183"/>
      <c r="H110" s="181"/>
      <c r="I110" s="181"/>
      <c r="J110" s="181"/>
      <c r="K110" s="181"/>
    </row>
    <row r="111" spans="1:11">
      <c r="C111"/>
      <c r="D111" s="1313"/>
      <c r="E111" s="1313"/>
      <c r="F111" s="1313"/>
      <c r="G111"/>
    </row>
    <row r="112" spans="1:11">
      <c r="C112"/>
      <c r="D112" s="1313"/>
      <c r="E112" s="1313"/>
      <c r="F112" s="1313"/>
      <c r="G112"/>
    </row>
    <row r="113" spans="1:7">
      <c r="C113"/>
      <c r="D113" s="330"/>
      <c r="E113"/>
      <c r="F113"/>
      <c r="G113"/>
    </row>
    <row r="114" spans="1:7" ht="14.25">
      <c r="A114" s="176"/>
      <c r="B114" s="468" t="s">
        <v>308</v>
      </c>
      <c r="C114"/>
      <c r="D114" s="1314" t="s">
        <v>1174</v>
      </c>
      <c r="E114" s="1314"/>
      <c r="F114" s="1314"/>
      <c r="G114"/>
    </row>
    <row r="115" spans="1:7" ht="14.25">
      <c r="A115" s="176"/>
      <c r="B115" s="176"/>
      <c r="C115"/>
      <c r="D115" s="1314"/>
      <c r="E115" s="1314"/>
      <c r="F115" s="1314"/>
      <c r="G115"/>
    </row>
    <row r="116" spans="1:7"/>
    <row r="117" spans="1:7" ht="14.25">
      <c r="A117" s="176"/>
      <c r="B117" s="468" t="s">
        <v>308</v>
      </c>
      <c r="D117" s="1272" t="s">
        <v>1175</v>
      </c>
      <c r="E117" s="1272"/>
      <c r="F117" s="1272"/>
    </row>
    <row r="118" spans="1:7">
      <c r="D118" s="1272"/>
      <c r="E118" s="1272"/>
      <c r="F118" s="1272"/>
    </row>
    <row r="119" spans="1:7">
      <c r="D119" s="1272"/>
      <c r="E119" s="1272"/>
      <c r="F119" s="1272"/>
    </row>
    <row r="120" spans="1:7">
      <c r="D120" s="1272"/>
      <c r="E120" s="1272"/>
      <c r="F120" s="1272"/>
    </row>
    <row r="121" spans="1:7">
      <c r="D121" s="1272"/>
      <c r="E121" s="1272"/>
      <c r="F121" s="1272"/>
    </row>
    <row r="122" spans="1:7"/>
    <row r="123" spans="1:7" ht="14.25">
      <c r="A123" s="176"/>
      <c r="B123" s="468" t="s">
        <v>308</v>
      </c>
      <c r="D123" s="1272" t="s">
        <v>1176</v>
      </c>
      <c r="E123" s="1272"/>
      <c r="F123" s="1272"/>
    </row>
    <row r="124" spans="1:7" s="197" customFormat="1" ht="13.7" customHeight="1">
      <c r="A124" s="195"/>
      <c r="B124" s="195"/>
      <c r="C124" s="195"/>
      <c r="D124" s="1272"/>
      <c r="E124" s="1272"/>
      <c r="F124" s="1272"/>
      <c r="G124" s="196"/>
    </row>
    <row r="125" spans="1:7" ht="13.7" customHeight="1">
      <c r="D125" s="1272"/>
      <c r="E125" s="1272"/>
      <c r="F125" s="1272"/>
    </row>
    <row r="126" spans="1:7" ht="13.7" customHeight="1">
      <c r="D126" s="1272"/>
      <c r="E126" s="1272"/>
      <c r="F126" s="1272"/>
    </row>
    <row r="127" spans="1:7" ht="13.7" customHeight="1">
      <c r="D127" s="1272"/>
      <c r="E127" s="1272"/>
      <c r="F127" s="1272"/>
    </row>
    <row r="128" spans="1:7" ht="13.7" customHeight="1">
      <c r="A128" s="256"/>
      <c r="B128" s="256"/>
      <c r="D128" s="1272"/>
      <c r="E128" s="1272"/>
      <c r="F128" s="1272"/>
    </row>
    <row r="129" spans="2:6" ht="13.7" customHeight="1">
      <c r="D129" s="1272"/>
      <c r="E129" s="1272"/>
      <c r="F129" s="1272"/>
    </row>
    <row r="130" spans="2:6" ht="13.7" customHeight="1">
      <c r="D130" s="1272"/>
      <c r="E130" s="1272"/>
      <c r="F130" s="1272"/>
    </row>
    <row r="131" spans="2:6" ht="13.7" customHeight="1">
      <c r="D131" s="1272"/>
      <c r="E131" s="1272"/>
      <c r="F131" s="1272"/>
    </row>
    <row r="132" spans="2:6" ht="13.7" customHeight="1">
      <c r="D132" s="1272"/>
      <c r="E132" s="1272"/>
      <c r="F132" s="1272"/>
    </row>
    <row r="133" spans="2:6" ht="13.7" customHeight="1">
      <c r="D133" s="1272"/>
      <c r="E133" s="1272"/>
      <c r="F133" s="1272"/>
    </row>
    <row r="134" spans="2:6" ht="13.7" customHeight="1">
      <c r="D134" s="1272"/>
      <c r="E134" s="1272"/>
      <c r="F134" s="1272"/>
    </row>
    <row r="135" spans="2:6" ht="13.7" customHeight="1">
      <c r="D135" s="218"/>
      <c r="E135" s="35"/>
      <c r="F135" s="35"/>
    </row>
    <row r="136" spans="2:6" ht="13.7" customHeight="1">
      <c r="B136" s="468" t="s">
        <v>308</v>
      </c>
      <c r="D136" s="1272" t="s">
        <v>1284</v>
      </c>
      <c r="E136" s="1272"/>
      <c r="F136" s="1272"/>
    </row>
    <row r="137" spans="2:6" ht="13.7" customHeight="1">
      <c r="D137" s="1272"/>
      <c r="E137" s="1272"/>
      <c r="F137" s="1272"/>
    </row>
    <row r="138" spans="2:6" ht="13.7" customHeight="1">
      <c r="D138" s="1272"/>
      <c r="E138" s="1272"/>
      <c r="F138" s="1272"/>
    </row>
    <row r="139" spans="2:6" ht="13.7" customHeight="1">
      <c r="D139" s="1272"/>
      <c r="E139" s="1272"/>
      <c r="F139" s="1272"/>
    </row>
    <row r="140" spans="2:6" ht="13.7" customHeight="1">
      <c r="D140" s="1272"/>
      <c r="E140" s="1272"/>
      <c r="F140" s="1272"/>
    </row>
    <row r="141" spans="2:6" ht="13.7" customHeight="1">
      <c r="D141" s="1272"/>
      <c r="E141" s="1272"/>
      <c r="F141" s="1272"/>
    </row>
    <row r="142" spans="2:6" ht="13.7" customHeight="1">
      <c r="D142" s="1272"/>
      <c r="E142" s="1272"/>
      <c r="F142" s="1272"/>
    </row>
    <row r="143" spans="2:6" ht="13.7" customHeight="1">
      <c r="D143" s="1272"/>
      <c r="E143" s="1272"/>
      <c r="F143" s="1272"/>
    </row>
    <row r="144" spans="2:6" ht="13.7" customHeight="1">
      <c r="D144" s="1272"/>
      <c r="E144" s="1272"/>
      <c r="F144" s="1272"/>
    </row>
    <row r="145" spans="1:7" ht="13.7" customHeight="1">
      <c r="D145" s="1272"/>
      <c r="E145" s="1272"/>
      <c r="F145" s="1272"/>
    </row>
    <row r="146" spans="1:7" ht="13.7" customHeight="1">
      <c r="D146" s="1272"/>
      <c r="E146" s="1272"/>
      <c r="F146" s="1272"/>
    </row>
    <row r="147" spans="1:7" ht="13.7" customHeight="1">
      <c r="D147" s="1272"/>
      <c r="E147" s="1272"/>
      <c r="F147" s="1272"/>
    </row>
    <row r="148" spans="1:7" ht="13.7" customHeight="1">
      <c r="D148" s="1272"/>
      <c r="E148" s="1272"/>
      <c r="F148" s="1272"/>
    </row>
    <row r="149" spans="1:7" ht="13.7" customHeight="1">
      <c r="D149" s="1272"/>
      <c r="E149" s="1272"/>
      <c r="F149" s="1272"/>
    </row>
    <row r="150" spans="1:7" ht="13.7" customHeight="1">
      <c r="D150" s="1272"/>
      <c r="E150" s="1272"/>
      <c r="F150" s="1272"/>
    </row>
    <row r="151" spans="1:7" ht="13.7" customHeight="1">
      <c r="D151" s="1272"/>
      <c r="E151" s="1272"/>
      <c r="F151" s="1272"/>
    </row>
    <row r="152" spans="1:7" ht="13.7" customHeight="1">
      <c r="D152" s="1272"/>
      <c r="E152" s="1272"/>
      <c r="F152" s="1272"/>
    </row>
    <row r="153" spans="1:7" ht="13.7" customHeight="1">
      <c r="D153" s="1272"/>
      <c r="E153" s="1272"/>
      <c r="F153" s="1272"/>
    </row>
    <row r="154" spans="1:7" ht="13.7" customHeight="1">
      <c r="D154" s="1272"/>
      <c r="E154" s="1272"/>
      <c r="F154" s="1272"/>
    </row>
    <row r="155" spans="1:7" ht="13.7" customHeight="1">
      <c r="D155" s="218"/>
      <c r="E155" s="35"/>
      <c r="F155" s="35"/>
    </row>
    <row r="156" spans="1:7" ht="13.7" customHeight="1">
      <c r="A156" s="256"/>
      <c r="B156" s="468" t="s">
        <v>308</v>
      </c>
      <c r="C156" s="218"/>
      <c r="D156" s="1275" t="s">
        <v>1177</v>
      </c>
      <c r="E156" s="1275"/>
      <c r="F156" s="1275"/>
      <c r="G156" s="218"/>
    </row>
    <row r="157" spans="1:7" ht="13.7" customHeight="1">
      <c r="A157" s="256"/>
      <c r="B157" s="256"/>
      <c r="C157" s="218"/>
      <c r="D157" s="1275"/>
      <c r="E157" s="1275"/>
      <c r="F157" s="1275"/>
      <c r="G157" s="218"/>
    </row>
    <row r="158" spans="1:7" ht="13.7" customHeight="1">
      <c r="A158" s="256"/>
      <c r="B158" s="256"/>
      <c r="C158" s="218"/>
      <c r="D158" s="218"/>
      <c r="E158" s="218"/>
      <c r="F158" s="218"/>
      <c r="G158" s="218"/>
    </row>
    <row r="159" spans="1:7" ht="13.7" customHeight="1">
      <c r="A159" s="256"/>
      <c r="B159" s="468" t="s">
        <v>308</v>
      </c>
      <c r="C159" s="218"/>
      <c r="D159" s="1275" t="s">
        <v>1178</v>
      </c>
      <c r="E159" s="1275"/>
      <c r="F159" s="1275"/>
      <c r="G159" s="218"/>
    </row>
    <row r="160" spans="1:7" ht="13.7" customHeight="1">
      <c r="A160" s="256"/>
      <c r="B160" s="256"/>
      <c r="C160" s="218"/>
      <c r="D160" s="1275"/>
      <c r="E160" s="1275"/>
      <c r="F160" s="1275"/>
      <c r="G160" s="218"/>
    </row>
    <row r="161" spans="1:7" ht="13.7" customHeight="1">
      <c r="A161" s="256"/>
      <c r="B161" s="256"/>
      <c r="C161" s="218"/>
      <c r="D161" s="1275"/>
      <c r="E161" s="1275"/>
      <c r="F161" s="1275"/>
      <c r="G161" s="218"/>
    </row>
    <row r="162" spans="1:7" ht="13.7" customHeight="1">
      <c r="A162" s="256"/>
      <c r="B162" s="256"/>
      <c r="C162" s="218"/>
      <c r="D162" s="1275"/>
      <c r="E162" s="1275"/>
      <c r="F162" s="1275"/>
      <c r="G162" s="218"/>
    </row>
    <row r="163" spans="1:7" ht="13.7" customHeight="1">
      <c r="D163" s="35"/>
      <c r="E163" s="35"/>
      <c r="F163" s="35"/>
    </row>
    <row r="164" spans="1:7" ht="13.7" customHeight="1">
      <c r="B164" s="468" t="s">
        <v>308</v>
      </c>
      <c r="D164" s="1309" t="s">
        <v>1179</v>
      </c>
      <c r="E164" s="1309"/>
      <c r="F164" s="1309"/>
    </row>
    <row r="165" spans="1:7" ht="13.7" customHeight="1">
      <c r="D165" s="1309"/>
      <c r="E165" s="1309"/>
      <c r="F165" s="1309"/>
    </row>
    <row r="166" spans="1:7" ht="13.7" customHeight="1">
      <c r="D166" s="1309"/>
      <c r="E166" s="1309"/>
      <c r="F166" s="1309"/>
    </row>
    <row r="167" spans="1:7" ht="13.7" customHeight="1">
      <c r="A167" s="13"/>
      <c r="B167" s="13"/>
      <c r="E167" s="35"/>
      <c r="F167" s="35"/>
    </row>
    <row r="168" spans="1:7">
      <c r="A168" s="1293" t="s">
        <v>1073</v>
      </c>
      <c r="B168" s="1293"/>
      <c r="C168" s="1293"/>
      <c r="D168" s="1293"/>
      <c r="E168" s="1293"/>
      <c r="F168" s="1293"/>
      <c r="G168" s="1293"/>
    </row>
    <row r="169" spans="1:7" ht="12" customHeight="1">
      <c r="D169" s="35"/>
      <c r="E169" s="35"/>
      <c r="F169" s="35"/>
    </row>
    <row r="170" spans="1:7">
      <c r="B170" s="1290" t="s">
        <v>449</v>
      </c>
      <c r="C170" s="1290"/>
      <c r="D170" s="1290"/>
      <c r="E170" s="1290"/>
      <c r="F170" s="1290"/>
    </row>
    <row r="171" spans="1:7" ht="12" customHeight="1">
      <c r="A171" s="172"/>
      <c r="B171" s="172"/>
      <c r="C171" s="172"/>
    </row>
    <row r="172" spans="1:7">
      <c r="A172" s="1293" t="s">
        <v>1074</v>
      </c>
      <c r="B172" s="1293"/>
      <c r="C172" s="1293"/>
      <c r="D172" s="1293"/>
      <c r="E172" s="1293"/>
      <c r="F172" s="1293"/>
      <c r="G172" s="1293"/>
    </row>
    <row r="173" spans="1:7" ht="12" customHeight="1">
      <c r="A173" s="2"/>
      <c r="B173" s="2"/>
      <c r="E173" s="2"/>
    </row>
    <row r="174" spans="1:7" ht="13.15" customHeight="1">
      <c r="A174" s="2"/>
      <c r="B174" s="2"/>
      <c r="D174" s="1315" t="s">
        <v>1182</v>
      </c>
      <c r="E174" s="1315"/>
      <c r="F174" s="1315"/>
    </row>
    <row r="175" spans="1:7">
      <c r="A175" s="2"/>
      <c r="B175" s="2"/>
      <c r="D175" s="1315"/>
      <c r="E175" s="1315"/>
      <c r="F175" s="1315"/>
    </row>
    <row r="176" spans="1:7">
      <c r="A176" s="2"/>
      <c r="B176" s="2"/>
      <c r="D176" s="1302" t="s">
        <v>1183</v>
      </c>
      <c r="E176" s="1302"/>
      <c r="F176" s="1302"/>
    </row>
    <row r="177" spans="1:7" ht="12" customHeight="1">
      <c r="A177" s="2"/>
      <c r="B177" s="2"/>
      <c r="E177" s="2"/>
    </row>
    <row r="178" spans="1:7" ht="14.25">
      <c r="A178" s="176"/>
      <c r="B178" s="468" t="s">
        <v>308</v>
      </c>
      <c r="D178" s="1287" t="s">
        <v>1181</v>
      </c>
      <c r="E178" s="1287"/>
      <c r="F178" s="1287"/>
    </row>
    <row r="179" spans="1:7" ht="14.25">
      <c r="A179" s="176"/>
      <c r="B179" s="176"/>
      <c r="D179" s="1287"/>
      <c r="E179" s="1287"/>
      <c r="F179" s="1287"/>
    </row>
    <row r="180" spans="1:7" ht="14.25">
      <c r="A180" s="176"/>
      <c r="B180" s="176"/>
      <c r="D180" s="1287"/>
      <c r="E180" s="1287"/>
      <c r="F180" s="1287"/>
    </row>
    <row r="181" spans="1:7">
      <c r="D181" s="1287"/>
      <c r="E181" s="1287"/>
      <c r="F181" s="1287"/>
    </row>
    <row r="182" spans="1:7">
      <c r="D182" s="220"/>
    </row>
    <row r="183" spans="1:7">
      <c r="D183" s="1308" t="s">
        <v>1090</v>
      </c>
      <c r="E183" s="1308"/>
      <c r="F183" s="1308"/>
    </row>
    <row r="184" spans="1:7">
      <c r="D184" s="1308"/>
      <c r="E184" s="1308"/>
      <c r="F184" s="1308"/>
    </row>
    <row r="185" spans="1:7">
      <c r="D185" s="475"/>
      <c r="E185" s="475"/>
      <c r="F185" s="475"/>
    </row>
    <row r="186" spans="1:7" ht="14.25">
      <c r="A186" s="176"/>
      <c r="B186" s="468" t="s">
        <v>308</v>
      </c>
      <c r="C186" s="385"/>
      <c r="D186" s="1272" t="s">
        <v>1180</v>
      </c>
      <c r="E186" s="1272"/>
      <c r="F186" s="1272"/>
      <c r="G186" s="3"/>
    </row>
    <row r="187" spans="1:7" ht="14.45" customHeight="1">
      <c r="A187" s="176"/>
      <c r="B187"/>
      <c r="C187" s="385"/>
      <c r="D187" s="1272"/>
      <c r="E187" s="1272"/>
      <c r="F187" s="1272"/>
      <c r="G187" s="3"/>
    </row>
    <row r="188" spans="1:7" ht="14.25">
      <c r="A188" s="176"/>
      <c r="B188" s="385"/>
      <c r="C188" s="385"/>
      <c r="D188" s="1272"/>
      <c r="E188" s="1272"/>
      <c r="F188" s="1272"/>
      <c r="G188" s="3"/>
    </row>
    <row r="189" spans="1:7" ht="14.25">
      <c r="A189" s="176"/>
      <c r="B189" s="385"/>
      <c r="C189" s="385"/>
      <c r="D189" s="1272"/>
      <c r="E189" s="1272"/>
      <c r="F189" s="1272"/>
      <c r="G189" s="3"/>
    </row>
    <row r="190" spans="1:7">
      <c r="D190" s="475"/>
      <c r="E190" s="475"/>
      <c r="F190" s="475"/>
    </row>
    <row r="191" spans="1:7">
      <c r="A191" s="1293" t="s">
        <v>1075</v>
      </c>
      <c r="B191" s="1293"/>
      <c r="C191" s="1293"/>
      <c r="D191" s="1293"/>
      <c r="E191" s="1293"/>
      <c r="F191" s="1293"/>
      <c r="G191" s="1293"/>
    </row>
    <row r="192" spans="1:7" ht="12" customHeight="1">
      <c r="D192" s="35"/>
      <c r="E192" s="35"/>
      <c r="F192" s="35"/>
    </row>
    <row r="193" spans="1:6">
      <c r="C193" s="177"/>
      <c r="D193" s="1291" t="s">
        <v>209</v>
      </c>
      <c r="E193" s="1291"/>
      <c r="F193" s="1291"/>
    </row>
    <row r="194" spans="1:6">
      <c r="A194" s="172"/>
      <c r="B194" s="172"/>
      <c r="C194" s="172"/>
      <c r="D194" s="1292" t="s">
        <v>1204</v>
      </c>
      <c r="E194" s="1298"/>
      <c r="F194" s="1298"/>
    </row>
    <row r="195" spans="1:6" ht="12" customHeight="1">
      <c r="A195" s="13"/>
      <c r="B195" s="13"/>
      <c r="C195" s="13"/>
    </row>
    <row r="196" spans="1:6" ht="13.15" customHeight="1">
      <c r="A196" s="13"/>
      <c r="C196" s="13"/>
      <c r="D196" s="1291" t="s">
        <v>555</v>
      </c>
      <c r="E196" s="1291"/>
      <c r="F196" s="1291"/>
    </row>
    <row r="197" spans="1:6" ht="14.25">
      <c r="A197" s="176"/>
      <c r="B197" s="468" t="s">
        <v>308</v>
      </c>
      <c r="D197" s="1272" t="s">
        <v>1198</v>
      </c>
      <c r="E197" s="1272"/>
      <c r="F197" s="1272"/>
    </row>
    <row r="198" spans="1:6" ht="14.25">
      <c r="A198" s="176"/>
      <c r="B198" s="176"/>
      <c r="D198" s="1272"/>
      <c r="E198" s="1272"/>
      <c r="F198" s="1272"/>
    </row>
    <row r="199" spans="1:6"/>
    <row r="200" spans="1:6" ht="14.25">
      <c r="A200" s="176"/>
      <c r="B200" s="468" t="s">
        <v>308</v>
      </c>
      <c r="D200" s="1272" t="s">
        <v>1199</v>
      </c>
      <c r="E200" s="1272"/>
      <c r="F200" s="1272"/>
    </row>
    <row r="201" spans="1:6" ht="14.25">
      <c r="A201" s="176"/>
      <c r="B201" s="176"/>
      <c r="D201" s="1272"/>
      <c r="E201" s="1272"/>
      <c r="F201" s="1272"/>
    </row>
    <row r="202" spans="1:6" ht="14.25">
      <c r="A202" s="176"/>
      <c r="B202" s="176"/>
      <c r="D202" s="1272"/>
      <c r="E202" s="1272"/>
      <c r="F202" s="1272"/>
    </row>
    <row r="203" spans="1:6" ht="5.0999999999999996" customHeight="1">
      <c r="A203" s="176"/>
      <c r="B203" s="176"/>
      <c r="D203" s="35"/>
      <c r="E203" s="35"/>
      <c r="F203" s="35"/>
    </row>
    <row r="204" spans="1:6" ht="14.25">
      <c r="A204" s="176"/>
      <c r="B204" s="176"/>
      <c r="D204" s="1272" t="s">
        <v>1200</v>
      </c>
      <c r="E204" s="1272"/>
      <c r="F204" s="1272"/>
    </row>
    <row r="205" spans="1:6" ht="14.25">
      <c r="A205" s="176"/>
      <c r="B205" s="176"/>
      <c r="D205" s="1272"/>
      <c r="E205" s="1272"/>
      <c r="F205" s="1272"/>
    </row>
    <row r="206" spans="1:6" ht="14.25">
      <c r="A206" s="176"/>
      <c r="B206" s="176"/>
      <c r="D206" s="1272"/>
      <c r="E206" s="1272"/>
      <c r="F206" s="1272"/>
    </row>
    <row r="207" spans="1:6" ht="14.25">
      <c r="A207" s="176"/>
      <c r="B207" s="176"/>
      <c r="D207" s="1272"/>
      <c r="E207" s="1272"/>
      <c r="F207" s="1272"/>
    </row>
    <row r="208" spans="1:6" ht="14.25">
      <c r="A208" s="176"/>
      <c r="B208" s="176"/>
      <c r="D208" s="1272"/>
      <c r="E208" s="1272"/>
      <c r="F208" s="1272"/>
    </row>
    <row r="209" spans="1:7" ht="14.25">
      <c r="A209" s="176"/>
      <c r="B209" s="176"/>
      <c r="D209" s="35"/>
      <c r="E209" s="35"/>
      <c r="F209" s="35"/>
    </row>
    <row r="210" spans="1:7" ht="14.25">
      <c r="A210" s="176"/>
      <c r="B210" s="468" t="s">
        <v>308</v>
      </c>
      <c r="D210" s="1272" t="s">
        <v>1201</v>
      </c>
      <c r="E210" s="1272"/>
      <c r="F210" s="1272"/>
    </row>
    <row r="211" spans="1:7" ht="14.25">
      <c r="A211" s="176"/>
      <c r="B211" s="176"/>
      <c r="D211" s="1272"/>
      <c r="E211" s="1272"/>
      <c r="F211" s="1272"/>
    </row>
    <row r="212" spans="1:7" ht="14.25">
      <c r="A212" s="176"/>
      <c r="B212" s="176"/>
      <c r="D212" s="1290" t="s">
        <v>910</v>
      </c>
      <c r="E212" s="1290"/>
      <c r="F212" s="1290"/>
    </row>
    <row r="213" spans="1:7" ht="14.25">
      <c r="A213" s="176"/>
      <c r="B213" s="176"/>
      <c r="D213" s="35"/>
      <c r="E213" s="35"/>
      <c r="F213" s="35"/>
    </row>
    <row r="214" spans="1:7" ht="14.45" customHeight="1">
      <c r="A214" s="176"/>
      <c r="B214" s="468" t="s">
        <v>308</v>
      </c>
      <c r="D214" s="1272" t="s">
        <v>1203</v>
      </c>
      <c r="E214" s="1272"/>
      <c r="F214" s="1272"/>
    </row>
    <row r="215" spans="1:7" ht="14.25">
      <c r="A215" s="176"/>
      <c r="B215" s="176"/>
      <c r="D215" s="1272"/>
      <c r="E215" s="1272"/>
      <c r="F215" s="1272"/>
    </row>
    <row r="216" spans="1:7" ht="14.25">
      <c r="A216" s="176"/>
      <c r="B216" s="176"/>
      <c r="D216" s="1272"/>
      <c r="E216" s="1272"/>
      <c r="F216" s="1272"/>
    </row>
    <row r="217" spans="1:7" ht="14.25">
      <c r="A217" s="176"/>
      <c r="B217" s="176"/>
      <c r="D217" s="1272"/>
      <c r="E217" s="1272"/>
      <c r="F217" s="1272"/>
    </row>
    <row r="218" spans="1:7" ht="14.25">
      <c r="A218" s="176"/>
      <c r="B218" s="176"/>
      <c r="D218" s="1272"/>
      <c r="E218" s="1272"/>
      <c r="F218" s="1272"/>
    </row>
    <row r="219" spans="1:7">
      <c r="D219" s="35"/>
      <c r="E219" s="35"/>
      <c r="F219" s="35"/>
    </row>
    <row r="220" spans="1:7" ht="14.25">
      <c r="A220" s="176"/>
      <c r="B220" s="468" t="s">
        <v>308</v>
      </c>
      <c r="D220" s="1272" t="s">
        <v>1202</v>
      </c>
      <c r="E220" s="1272"/>
      <c r="F220" s="1272"/>
    </row>
    <row r="221" spans="1:7" ht="14.25">
      <c r="A221" s="176"/>
      <c r="B221" s="176"/>
      <c r="D221" s="1272"/>
      <c r="E221" s="1272"/>
      <c r="F221" s="1272"/>
    </row>
    <row r="222" spans="1:7">
      <c r="D222" s="19"/>
    </row>
    <row r="223" spans="1:7">
      <c r="A223" s="1293" t="s">
        <v>1076</v>
      </c>
      <c r="B223" s="1293"/>
      <c r="C223" s="1293"/>
      <c r="D223" s="1293"/>
      <c r="E223" s="1293"/>
      <c r="F223" s="1293"/>
      <c r="G223" s="1293"/>
    </row>
    <row r="224" spans="1:7">
      <c r="D224" s="19"/>
    </row>
    <row r="225" spans="1:6">
      <c r="C225" s="177"/>
      <c r="D225" s="1291" t="s">
        <v>1205</v>
      </c>
      <c r="E225" s="1291"/>
      <c r="F225" s="1291"/>
    </row>
    <row r="226" spans="1:6">
      <c r="A226" s="172"/>
      <c r="B226" s="172"/>
      <c r="C226" s="172"/>
      <c r="D226" s="35"/>
      <c r="E226" s="35"/>
      <c r="F226" s="35"/>
    </row>
    <row r="227" spans="1:6">
      <c r="A227" s="175"/>
      <c r="B227" s="175"/>
      <c r="C227" s="175"/>
      <c r="D227" s="1291" t="s">
        <v>270</v>
      </c>
      <c r="E227" s="1291"/>
      <c r="F227" s="1291"/>
    </row>
    <row r="228" spans="1:6" ht="14.25">
      <c r="A228" s="176"/>
      <c r="B228" s="468" t="s">
        <v>308</v>
      </c>
      <c r="D228" s="1321" t="s">
        <v>1206</v>
      </c>
      <c r="E228" s="1321"/>
      <c r="F228" s="1321"/>
    </row>
    <row r="229" spans="1:6" ht="14.25">
      <c r="A229" s="176"/>
      <c r="B229" s="176"/>
      <c r="D229" s="1321"/>
      <c r="E229" s="1321"/>
      <c r="F229" s="1321"/>
    </row>
    <row r="230" spans="1:6">
      <c r="D230" s="35"/>
      <c r="E230" s="35"/>
      <c r="F230" s="35"/>
    </row>
    <row r="231" spans="1:6" ht="14.45" customHeight="1">
      <c r="A231" s="176"/>
      <c r="B231" s="468" t="s">
        <v>308</v>
      </c>
      <c r="D231" s="1272" t="s">
        <v>1207</v>
      </c>
      <c r="E231" s="1272"/>
      <c r="F231" s="1272"/>
    </row>
    <row r="232" spans="1:6">
      <c r="D232" s="1272"/>
      <c r="E232" s="1272"/>
      <c r="F232" s="1272"/>
    </row>
    <row r="233" spans="1:6">
      <c r="D233" s="1298" t="s">
        <v>902</v>
      </c>
      <c r="E233" s="1298"/>
      <c r="F233" s="1298"/>
    </row>
    <row r="234" spans="1:6">
      <c r="D234" s="35"/>
      <c r="E234" s="35"/>
      <c r="F234" s="35"/>
    </row>
    <row r="235" spans="1:6" ht="14.45" customHeight="1">
      <c r="A235" s="176"/>
      <c r="B235" s="468" t="s">
        <v>308</v>
      </c>
      <c r="D235" s="1272" t="s">
        <v>1209</v>
      </c>
      <c r="E235" s="1272"/>
      <c r="F235" s="1272"/>
    </row>
    <row r="236" spans="1:6">
      <c r="D236" s="1272"/>
      <c r="E236" s="1272"/>
      <c r="F236" s="1272"/>
    </row>
    <row r="237" spans="1:6">
      <c r="D237" s="1272"/>
      <c r="E237" s="1272"/>
      <c r="F237" s="1272"/>
    </row>
    <row r="238" spans="1:6">
      <c r="D238" s="1272"/>
      <c r="E238" s="1272"/>
      <c r="F238" s="1272"/>
    </row>
    <row r="239" spans="1:6">
      <c r="D239" s="1272"/>
      <c r="E239" s="1272"/>
      <c r="F239" s="1272"/>
    </row>
    <row r="240" spans="1:6">
      <c r="D240" s="35"/>
      <c r="E240" s="35"/>
      <c r="F240" s="35"/>
    </row>
    <row r="241" spans="1:7" ht="14.25">
      <c r="A241" s="176"/>
      <c r="B241" s="468" t="s">
        <v>308</v>
      </c>
      <c r="D241" s="1272" t="s">
        <v>1208</v>
      </c>
      <c r="E241" s="1272"/>
      <c r="F241" s="1272"/>
    </row>
    <row r="242" spans="1:7">
      <c r="D242" s="1272"/>
      <c r="E242" s="1272"/>
      <c r="F242" s="1272"/>
    </row>
    <row r="243" spans="1:7">
      <c r="D243" s="1272"/>
      <c r="E243" s="1272"/>
      <c r="F243" s="1272"/>
    </row>
    <row r="244" spans="1:7">
      <c r="D244" s="178"/>
      <c r="E244" s="35"/>
      <c r="F244" s="35"/>
    </row>
    <row r="245" spans="1:7">
      <c r="A245" s="1293" t="s">
        <v>1077</v>
      </c>
      <c r="B245" s="1293"/>
      <c r="C245" s="1293"/>
      <c r="D245" s="1293"/>
      <c r="E245" s="1293"/>
      <c r="F245" s="1293"/>
      <c r="G245" s="1293"/>
    </row>
    <row r="246" spans="1:7">
      <c r="D246" s="178"/>
      <c r="E246" s="35"/>
      <c r="F246" s="35"/>
    </row>
    <row r="247" spans="1:7">
      <c r="C247" s="172"/>
      <c r="D247" s="1304" t="s">
        <v>1210</v>
      </c>
      <c r="E247" s="1304"/>
      <c r="F247" s="1304"/>
    </row>
    <row r="248" spans="1:7">
      <c r="C248" s="172"/>
      <c r="D248" s="1304"/>
      <c r="E248" s="1304"/>
      <c r="F248" s="1304"/>
    </row>
    <row r="249" spans="1:7">
      <c r="A249" s="175"/>
      <c r="B249" s="175"/>
      <c r="C249" s="175"/>
      <c r="D249" s="2"/>
      <c r="E249" s="3"/>
      <c r="F249" s="3"/>
    </row>
    <row r="250" spans="1:7">
      <c r="C250" s="175"/>
      <c r="D250" s="1291" t="s">
        <v>210</v>
      </c>
      <c r="E250" s="1291"/>
      <c r="F250" s="1291"/>
    </row>
    <row r="251" spans="1:7" ht="15.75" customHeight="1">
      <c r="A251" s="176"/>
      <c r="B251" s="176"/>
      <c r="D251" s="1297" t="s">
        <v>1211</v>
      </c>
      <c r="E251" s="1297"/>
      <c r="F251" s="1297"/>
    </row>
    <row r="252" spans="1:7">
      <c r="E252" s="35"/>
      <c r="F252" s="35"/>
    </row>
    <row r="253" spans="1:7" ht="14.25">
      <c r="A253" s="176"/>
      <c r="B253" s="468" t="s">
        <v>308</v>
      </c>
      <c r="D253" s="1272" t="s">
        <v>1212</v>
      </c>
      <c r="E253" s="1272"/>
      <c r="F253" s="1272"/>
    </row>
    <row r="254" spans="1:7" ht="14.25">
      <c r="A254" s="176"/>
      <c r="B254" s="176"/>
      <c r="D254" s="1272"/>
      <c r="E254" s="1272"/>
      <c r="F254" s="1272"/>
    </row>
    <row r="255" spans="1:7">
      <c r="D255" s="35"/>
      <c r="E255" s="35"/>
      <c r="F255" s="35"/>
    </row>
    <row r="256" spans="1:7" ht="14.25">
      <c r="A256" s="176"/>
      <c r="B256" s="468" t="s">
        <v>308</v>
      </c>
      <c r="D256" s="1272" t="s">
        <v>1213</v>
      </c>
      <c r="E256" s="1272"/>
      <c r="F256" s="1272"/>
    </row>
    <row r="257" spans="1:7" ht="14.25">
      <c r="A257" s="176"/>
      <c r="B257" s="176"/>
      <c r="D257" s="1272"/>
      <c r="E257" s="1272"/>
      <c r="F257" s="1272"/>
    </row>
    <row r="258" spans="1:7" ht="14.25">
      <c r="A258" s="176"/>
      <c r="B258" s="176"/>
      <c r="D258" s="1272"/>
      <c r="E258" s="1272"/>
      <c r="F258" s="1272"/>
    </row>
    <row r="259" spans="1:7">
      <c r="D259" s="35"/>
      <c r="E259" s="35"/>
      <c r="F259" s="35"/>
    </row>
    <row r="260" spans="1:7" ht="14.25">
      <c r="A260" s="176"/>
      <c r="B260" s="468" t="s">
        <v>308</v>
      </c>
      <c r="D260" s="1272" t="s">
        <v>1214</v>
      </c>
      <c r="E260" s="1272"/>
      <c r="F260" s="1272"/>
    </row>
    <row r="261" spans="1:7" ht="14.25">
      <c r="A261" s="176"/>
      <c r="B261" s="176"/>
      <c r="D261" s="1272"/>
      <c r="E261" s="1272"/>
      <c r="F261" s="1272"/>
    </row>
    <row r="262" spans="1:7">
      <c r="A262" s="13"/>
      <c r="B262" s="13"/>
      <c r="E262" s="35"/>
      <c r="F262" s="35"/>
    </row>
    <row r="263" spans="1:7">
      <c r="A263" s="1293" t="s">
        <v>1078</v>
      </c>
      <c r="B263" s="1293"/>
      <c r="C263" s="1293"/>
      <c r="D263" s="1293"/>
      <c r="E263" s="1293"/>
      <c r="F263" s="1293"/>
      <c r="G263" s="1293"/>
    </row>
    <row r="264" spans="1:7">
      <c r="A264" s="13"/>
      <c r="B264" s="13"/>
      <c r="D264" s="35"/>
      <c r="E264" s="35"/>
      <c r="F264" s="35"/>
    </row>
    <row r="265" spans="1:7">
      <c r="C265" s="13"/>
      <c r="D265" s="1291" t="s">
        <v>691</v>
      </c>
      <c r="E265" s="1291"/>
      <c r="F265" s="1291"/>
    </row>
    <row r="266" spans="1:7">
      <c r="C266" s="13"/>
      <c r="D266" s="1292" t="s">
        <v>1215</v>
      </c>
      <c r="E266" s="1292"/>
      <c r="F266" s="1292"/>
    </row>
    <row r="267" spans="1:7">
      <c r="C267" s="13"/>
      <c r="D267" s="173"/>
    </row>
    <row r="268" spans="1:7">
      <c r="B268" s="468" t="s">
        <v>308</v>
      </c>
      <c r="D268" s="1292" t="s">
        <v>1216</v>
      </c>
      <c r="E268" s="1292"/>
      <c r="F268" s="1292"/>
    </row>
    <row r="269" spans="1:7" ht="14.25">
      <c r="A269" s="176"/>
      <c r="B269" s="176"/>
      <c r="D269" s="341"/>
      <c r="E269" s="342"/>
      <c r="F269" s="342"/>
    </row>
    <row r="270" spans="1:7" ht="13.15" customHeight="1">
      <c r="B270" s="468" t="s">
        <v>308</v>
      </c>
      <c r="D270" s="1322" t="s">
        <v>1217</v>
      </c>
      <c r="E270" s="1322"/>
      <c r="F270" s="1322"/>
    </row>
    <row r="271" spans="1:7" ht="14.25">
      <c r="A271" s="176"/>
      <c r="B271" s="176"/>
      <c r="D271" s="1322"/>
      <c r="E271" s="1322"/>
      <c r="F271" s="1322"/>
    </row>
    <row r="272" spans="1:7" ht="14.25">
      <c r="A272" s="176"/>
      <c r="B272" s="176"/>
      <c r="D272" s="1322"/>
      <c r="E272" s="1322"/>
      <c r="F272" s="1322"/>
    </row>
    <row r="273" spans="1:6" ht="14.25">
      <c r="A273" s="176"/>
      <c r="B273" s="176"/>
      <c r="D273" s="1322"/>
      <c r="E273" s="1322"/>
      <c r="F273" s="1322"/>
    </row>
    <row r="274" spans="1:6" ht="14.25">
      <c r="A274" s="176"/>
      <c r="B274" s="176"/>
      <c r="D274" s="1322"/>
      <c r="E274" s="1322"/>
      <c r="F274" s="1322"/>
    </row>
    <row r="275" spans="1:6" ht="14.25">
      <c r="A275" s="176"/>
      <c r="B275" s="176"/>
      <c r="D275" s="341"/>
      <c r="E275" s="342"/>
      <c r="F275" s="342"/>
    </row>
    <row r="276" spans="1:6" ht="13.15" customHeight="1">
      <c r="B276" s="468" t="s">
        <v>308</v>
      </c>
      <c r="D276" s="1322" t="s">
        <v>1218</v>
      </c>
      <c r="E276" s="1322"/>
      <c r="F276" s="1322"/>
    </row>
    <row r="277" spans="1:6">
      <c r="D277" s="1322"/>
      <c r="E277" s="1322"/>
      <c r="F277" s="1322"/>
    </row>
    <row r="278" spans="1:6" ht="14.25">
      <c r="A278" s="176"/>
      <c r="B278" s="176"/>
      <c r="D278" s="341"/>
      <c r="E278" s="342"/>
      <c r="F278" s="342"/>
    </row>
    <row r="279" spans="1:6">
      <c r="B279" s="468" t="s">
        <v>308</v>
      </c>
      <c r="D279" s="1292" t="s">
        <v>1219</v>
      </c>
      <c r="E279" s="1292"/>
      <c r="F279" s="1292"/>
    </row>
    <row r="280" spans="1:6">
      <c r="E280" s="35"/>
      <c r="F280" s="35"/>
    </row>
    <row r="281" spans="1:6" ht="14.25">
      <c r="A281" s="176"/>
      <c r="B281" s="468" t="s">
        <v>308</v>
      </c>
      <c r="D281" s="1272" t="s">
        <v>1220</v>
      </c>
      <c r="E281" s="1272"/>
      <c r="F281" s="1272"/>
    </row>
    <row r="282" spans="1:6" ht="14.25">
      <c r="A282" s="176"/>
      <c r="B282" s="176"/>
      <c r="D282" s="1272"/>
      <c r="E282" s="1272"/>
      <c r="F282" s="1272"/>
    </row>
    <row r="283" spans="1:6" ht="14.25">
      <c r="A283" s="176"/>
      <c r="B283" s="176"/>
      <c r="D283" s="1272"/>
      <c r="E283" s="1272"/>
      <c r="F283" s="1272"/>
    </row>
    <row r="284" spans="1:6" ht="14.25">
      <c r="A284" s="176"/>
      <c r="B284" s="176"/>
      <c r="D284" s="1272"/>
      <c r="E284" s="1272"/>
      <c r="F284" s="1272"/>
    </row>
    <row r="285" spans="1:6" ht="14.25">
      <c r="A285" s="176"/>
      <c r="B285" s="176"/>
      <c r="D285" s="1272"/>
      <c r="E285" s="1272"/>
      <c r="F285" s="1272"/>
    </row>
    <row r="286" spans="1:6" ht="14.25">
      <c r="A286" s="176"/>
      <c r="B286" s="176"/>
      <c r="D286" s="1272"/>
      <c r="E286" s="1272"/>
      <c r="F286" s="1272"/>
    </row>
    <row r="287" spans="1:6" ht="14.25">
      <c r="A287" s="176"/>
      <c r="B287" s="176"/>
      <c r="D287" s="1272"/>
      <c r="E287" s="1272"/>
      <c r="F287" s="1272"/>
    </row>
    <row r="288" spans="1:6" ht="14.25">
      <c r="A288" s="176"/>
      <c r="B288" s="176"/>
      <c r="D288" s="1272"/>
      <c r="E288" s="1272"/>
      <c r="F288" s="1272"/>
    </row>
    <row r="289" spans="1:6" ht="14.25">
      <c r="A289" s="176"/>
      <c r="B289" s="176"/>
      <c r="D289" s="1272"/>
      <c r="E289" s="1272"/>
      <c r="F289" s="1272"/>
    </row>
    <row r="290" spans="1:6" ht="14.25">
      <c r="A290" s="176"/>
      <c r="B290" s="176"/>
      <c r="D290" s="1272"/>
      <c r="E290" s="1272"/>
      <c r="F290" s="1272"/>
    </row>
    <row r="291" spans="1:6" ht="14.25">
      <c r="A291" s="176"/>
      <c r="B291" s="176"/>
      <c r="D291" s="1272"/>
      <c r="E291" s="1272"/>
      <c r="F291" s="1272"/>
    </row>
    <row r="292" spans="1:6" ht="14.25">
      <c r="A292" s="176"/>
      <c r="B292" s="176"/>
      <c r="D292" s="1272"/>
      <c r="E292" s="1272"/>
      <c r="F292" s="1272"/>
    </row>
    <row r="293" spans="1:6" ht="14.25">
      <c r="A293" s="176"/>
      <c r="B293" s="176"/>
      <c r="D293" s="1272"/>
      <c r="E293" s="1272"/>
      <c r="F293" s="1272"/>
    </row>
    <row r="294" spans="1:6" ht="14.25">
      <c r="A294" s="176"/>
      <c r="B294" s="176"/>
      <c r="D294" s="1272"/>
      <c r="E294" s="1272"/>
      <c r="F294" s="1272"/>
    </row>
    <row r="295" spans="1:6" ht="14.25">
      <c r="A295" s="176"/>
      <c r="B295" s="176"/>
      <c r="D295" s="1272"/>
      <c r="E295" s="1272"/>
      <c r="F295" s="1272"/>
    </row>
    <row r="296" spans="1:6">
      <c r="D296" s="35"/>
      <c r="E296" s="35"/>
      <c r="F296" s="35"/>
    </row>
    <row r="297" spans="1:6" ht="14.25">
      <c r="A297" s="176"/>
      <c r="B297" s="468" t="s">
        <v>308</v>
      </c>
      <c r="D297" s="1272" t="s">
        <v>1221</v>
      </c>
      <c r="E297" s="1272"/>
      <c r="F297" s="1272"/>
    </row>
    <row r="298" spans="1:6">
      <c r="D298" s="1272"/>
      <c r="E298" s="1272"/>
      <c r="F298" s="1272"/>
    </row>
    <row r="299" spans="1:6">
      <c r="D299" s="1272"/>
      <c r="E299" s="1272"/>
      <c r="F299" s="1272"/>
    </row>
    <row r="300" spans="1:6">
      <c r="D300" s="1272"/>
      <c r="E300" s="1272"/>
      <c r="F300" s="1272"/>
    </row>
    <row r="301" spans="1:6">
      <c r="D301" s="1272"/>
      <c r="E301" s="1272"/>
      <c r="F301" s="1272"/>
    </row>
    <row r="302" spans="1:6">
      <c r="D302" s="1272"/>
      <c r="E302" s="1272"/>
      <c r="F302" s="1272"/>
    </row>
    <row r="303" spans="1:6">
      <c r="D303" s="1272"/>
      <c r="E303" s="1272"/>
      <c r="F303" s="1272"/>
    </row>
    <row r="304" spans="1:6">
      <c r="D304" s="1272"/>
      <c r="E304" s="1272"/>
      <c r="F304" s="1272"/>
    </row>
    <row r="305" spans="1:7">
      <c r="D305" s="1272"/>
      <c r="E305" s="1272"/>
      <c r="F305" s="1272"/>
    </row>
    <row r="306" spans="1:7">
      <c r="D306" s="35"/>
      <c r="E306" s="35"/>
      <c r="F306" s="35"/>
    </row>
    <row r="307" spans="1:7" ht="14.25">
      <c r="A307" s="176"/>
      <c r="B307" s="468" t="s">
        <v>308</v>
      </c>
      <c r="D307" s="1272" t="s">
        <v>1222</v>
      </c>
      <c r="E307" s="1272"/>
      <c r="F307" s="1272"/>
    </row>
    <row r="308" spans="1:7">
      <c r="D308" s="1272"/>
      <c r="E308" s="1272"/>
      <c r="F308" s="1272"/>
      <c r="G308"/>
    </row>
    <row r="309" spans="1:7">
      <c r="D309" s="1272"/>
      <c r="E309" s="1272"/>
      <c r="F309" s="1272"/>
      <c r="G309"/>
    </row>
    <row r="310" spans="1:7">
      <c r="D310" s="1272"/>
      <c r="E310" s="1272"/>
      <c r="F310" s="1272"/>
      <c r="G310"/>
    </row>
    <row r="311" spans="1:7">
      <c r="D311" s="1272"/>
      <c r="E311" s="1272"/>
      <c r="F311" s="1272"/>
      <c r="G311"/>
    </row>
    <row r="312" spans="1:7">
      <c r="D312" s="1272"/>
      <c r="E312" s="1272"/>
      <c r="F312" s="1272"/>
      <c r="G312"/>
    </row>
    <row r="313" spans="1:7">
      <c r="D313" s="474"/>
      <c r="E313" s="474"/>
      <c r="F313" s="474"/>
      <c r="G313"/>
    </row>
    <row r="314" spans="1:7" ht="13.5" thickBot="1">
      <c r="D314" s="1318" t="s">
        <v>999</v>
      </c>
      <c r="E314" s="1318"/>
      <c r="F314" s="1318"/>
      <c r="G314"/>
    </row>
    <row r="315" spans="1:7" ht="13.5" thickTop="1">
      <c r="D315" s="1319" t="s">
        <v>1223</v>
      </c>
      <c r="E315" s="1319"/>
      <c r="F315" s="1319"/>
      <c r="G315"/>
    </row>
    <row r="316" spans="1:7">
      <c r="A316" s="218"/>
      <c r="B316" s="218"/>
      <c r="C316" s="218"/>
      <c r="D316" s="220"/>
      <c r="E316" s="220"/>
      <c r="F316" s="35"/>
      <c r="G316"/>
    </row>
    <row r="317" spans="1:7" ht="14.25">
      <c r="A317" s="176"/>
      <c r="B317" s="468" t="s">
        <v>308</v>
      </c>
      <c r="C317" s="218"/>
      <c r="D317" s="1320" t="s">
        <v>1224</v>
      </c>
      <c r="E317" s="1320"/>
      <c r="F317" s="1320"/>
      <c r="G317"/>
    </row>
    <row r="318" spans="1:7">
      <c r="A318" s="218"/>
      <c r="B318" s="218"/>
      <c r="C318" s="218"/>
      <c r="D318" s="220"/>
      <c r="E318" s="220"/>
      <c r="F318" s="35"/>
      <c r="G318"/>
    </row>
    <row r="319" spans="1:7">
      <c r="A319" s="218"/>
      <c r="B319" s="468" t="s">
        <v>308</v>
      </c>
      <c r="C319" s="218"/>
      <c r="D319" s="1275" t="s">
        <v>1225</v>
      </c>
      <c r="E319" s="1275"/>
      <c r="F319" s="1275"/>
      <c r="G319"/>
    </row>
    <row r="320" spans="1:7">
      <c r="A320" s="218"/>
      <c r="B320" s="218"/>
      <c r="C320" s="218"/>
      <c r="D320" s="1275"/>
      <c r="E320" s="1275"/>
      <c r="F320" s="1275"/>
      <c r="G320"/>
    </row>
    <row r="321" spans="1:7">
      <c r="A321" s="218"/>
      <c r="B321" s="218"/>
      <c r="C321" s="218"/>
      <c r="D321" s="1275"/>
      <c r="E321" s="1275"/>
      <c r="F321" s="1275"/>
      <c r="G321"/>
    </row>
    <row r="322" spans="1:7">
      <c r="A322" s="218"/>
      <c r="B322" s="218"/>
      <c r="C322" s="218"/>
      <c r="D322" s="1275"/>
      <c r="E322" s="1275"/>
      <c r="F322" s="1275"/>
      <c r="G322"/>
    </row>
    <row r="323" spans="1:7">
      <c r="A323" s="218"/>
      <c r="B323" s="218"/>
      <c r="C323" s="218"/>
      <c r="D323" s="1275"/>
      <c r="E323" s="1275"/>
      <c r="F323" s="1275"/>
      <c r="G323"/>
    </row>
    <row r="324" spans="1:7">
      <c r="A324" s="218"/>
      <c r="B324" s="218"/>
      <c r="C324" s="218"/>
      <c r="D324" s="1275"/>
      <c r="E324" s="1275"/>
      <c r="F324" s="1275"/>
      <c r="G324"/>
    </row>
    <row r="325" spans="1:7">
      <c r="A325" s="218"/>
      <c r="B325" s="218"/>
      <c r="C325" s="218"/>
      <c r="D325" s="1275"/>
      <c r="E325" s="1275"/>
      <c r="F325" s="1275"/>
      <c r="G325"/>
    </row>
    <row r="326" spans="1:7">
      <c r="A326" s="218"/>
      <c r="B326" s="218"/>
      <c r="C326" s="218"/>
      <c r="D326" s="1275"/>
      <c r="E326" s="1275"/>
      <c r="F326" s="1275"/>
      <c r="G326"/>
    </row>
    <row r="327" spans="1:7">
      <c r="A327" s="218"/>
      <c r="B327" s="218"/>
      <c r="C327" s="218"/>
      <c r="D327" s="1275"/>
      <c r="E327" s="1275"/>
      <c r="F327" s="1275"/>
      <c r="G327"/>
    </row>
    <row r="328" spans="1:7">
      <c r="A328" s="218"/>
      <c r="B328" s="218"/>
      <c r="C328" s="218"/>
      <c r="D328" s="1275"/>
      <c r="E328" s="1275"/>
      <c r="F328" s="1275"/>
      <c r="G328"/>
    </row>
    <row r="329" spans="1:7">
      <c r="A329" s="218"/>
      <c r="B329" s="218"/>
      <c r="C329" s="218"/>
      <c r="D329" s="1275"/>
      <c r="E329" s="1275"/>
      <c r="F329" s="1275"/>
      <c r="G329"/>
    </row>
    <row r="330" spans="1:7">
      <c r="A330" s="218"/>
      <c r="B330" s="218"/>
      <c r="C330" s="218"/>
      <c r="D330"/>
      <c r="E330" s="220"/>
      <c r="F330" s="35"/>
      <c r="G330"/>
    </row>
    <row r="331" spans="1:7" ht="14.25">
      <c r="A331" s="176"/>
      <c r="B331" s="468" t="s">
        <v>308</v>
      </c>
      <c r="C331" s="218"/>
      <c r="D331" s="1275" t="s">
        <v>1226</v>
      </c>
      <c r="E331" s="1275"/>
      <c r="F331" s="1275"/>
      <c r="G331"/>
    </row>
    <row r="332" spans="1:7">
      <c r="A332" s="218"/>
      <c r="B332" s="218"/>
      <c r="C332" s="218"/>
      <c r="D332" s="1275"/>
      <c r="E332" s="1275"/>
      <c r="F332" s="1275"/>
      <c r="G332"/>
    </row>
    <row r="333" spans="1:7">
      <c r="A333" s="218"/>
      <c r="B333" s="218"/>
      <c r="C333" s="218"/>
      <c r="D333" s="1275"/>
      <c r="E333" s="1275"/>
      <c r="F333" s="1275"/>
      <c r="G333"/>
    </row>
    <row r="334" spans="1:7">
      <c r="A334" s="218"/>
      <c r="B334" s="218"/>
      <c r="C334" s="218"/>
      <c r="D334" s="1275"/>
      <c r="E334" s="1275"/>
      <c r="F334" s="1275"/>
      <c r="G334"/>
    </row>
    <row r="335" spans="1:7">
      <c r="A335" s="218"/>
      <c r="B335" s="218"/>
      <c r="C335" s="218"/>
      <c r="D335" s="220"/>
      <c r="E335" s="220"/>
      <c r="F335" s="35"/>
      <c r="G335"/>
    </row>
    <row r="336" spans="1:7">
      <c r="A336" s="218"/>
      <c r="B336" s="218"/>
      <c r="C336" s="218"/>
      <c r="D336" s="1275" t="s">
        <v>1227</v>
      </c>
      <c r="E336" s="1275"/>
      <c r="F336" s="1275"/>
      <c r="G336"/>
    </row>
    <row r="337" spans="1:7">
      <c r="A337" s="218"/>
      <c r="B337" s="218"/>
      <c r="C337" s="218"/>
      <c r="D337" s="1275"/>
      <c r="E337" s="1275"/>
      <c r="F337" s="1275"/>
      <c r="G337"/>
    </row>
    <row r="338" spans="1:7">
      <c r="A338" s="218"/>
      <c r="B338" s="218"/>
      <c r="C338" s="218"/>
      <c r="D338" s="1275"/>
      <c r="E338" s="1275"/>
      <c r="F338" s="1275"/>
      <c r="G338"/>
    </row>
    <row r="339" spans="1:7">
      <c r="A339" s="218"/>
      <c r="B339" s="218"/>
      <c r="C339" s="218"/>
      <c r="D339" s="1275"/>
      <c r="E339" s="1275"/>
      <c r="F339" s="1275"/>
      <c r="G339"/>
    </row>
    <row r="340" spans="1:7" ht="18" customHeight="1">
      <c r="A340" s="218"/>
      <c r="B340" s="218"/>
      <c r="C340" s="218"/>
      <c r="D340" s="1275"/>
      <c r="E340" s="1275"/>
      <c r="F340" s="1275"/>
      <c r="G340"/>
    </row>
    <row r="341" spans="1:7">
      <c r="A341" s="218"/>
      <c r="B341" s="218"/>
      <c r="C341" s="218"/>
      <c r="D341" s="1275"/>
      <c r="E341" s="1275"/>
      <c r="F341" s="1275"/>
      <c r="G341"/>
    </row>
    <row r="342" spans="1:7">
      <c r="A342" s="218"/>
      <c r="B342" s="218"/>
      <c r="C342" s="218"/>
      <c r="D342" s="1275"/>
      <c r="E342" s="1275"/>
      <c r="F342" s="1275"/>
      <c r="G342"/>
    </row>
    <row r="343" spans="1:7">
      <c r="A343" s="218"/>
      <c r="B343" s="218"/>
      <c r="C343" s="218"/>
      <c r="D343" s="1275"/>
      <c r="E343" s="1275"/>
      <c r="F343" s="1275"/>
      <c r="G343"/>
    </row>
    <row r="344" spans="1:7" ht="8.25" customHeight="1">
      <c r="A344" s="218"/>
      <c r="B344" s="218"/>
      <c r="C344" s="218"/>
      <c r="D344" s="1275"/>
      <c r="E344" s="1275"/>
      <c r="F344" s="1275"/>
      <c r="G344"/>
    </row>
    <row r="345" spans="1:7" ht="13.15" customHeight="1">
      <c r="A345" s="218"/>
      <c r="B345" s="218"/>
      <c r="C345" s="218"/>
      <c r="D345" s="1275" t="s">
        <v>1228</v>
      </c>
      <c r="E345" s="1275"/>
      <c r="F345" s="1275"/>
      <c r="G345"/>
    </row>
    <row r="346" spans="1:7">
      <c r="A346" s="218"/>
      <c r="B346" s="218"/>
      <c r="C346" s="218"/>
      <c r="D346" s="1275"/>
      <c r="E346" s="1275"/>
      <c r="F346" s="1275"/>
      <c r="G346"/>
    </row>
    <row r="347" spans="1:7">
      <c r="A347" s="218"/>
      <c r="B347" s="218"/>
      <c r="C347" s="218"/>
      <c r="D347" s="1275"/>
      <c r="E347" s="1275"/>
      <c r="F347" s="1275"/>
      <c r="G347"/>
    </row>
    <row r="348" spans="1:7">
      <c r="A348" s="218"/>
      <c r="B348" s="218"/>
      <c r="C348" s="218"/>
      <c r="D348" s="1275"/>
      <c r="E348" s="1275"/>
      <c r="F348" s="1275"/>
      <c r="G348"/>
    </row>
    <row r="349" spans="1:7">
      <c r="A349" s="218"/>
      <c r="B349" s="218"/>
      <c r="C349" s="218"/>
      <c r="D349" s="1275"/>
      <c r="E349" s="1275"/>
      <c r="F349" s="1275"/>
      <c r="G349"/>
    </row>
    <row r="350" spans="1:7">
      <c r="A350" s="218"/>
      <c r="B350" s="218"/>
      <c r="C350" s="218"/>
      <c r="D350" s="1275"/>
      <c r="E350" s="1275"/>
      <c r="F350" s="1275"/>
      <c r="G350"/>
    </row>
    <row r="351" spans="1:7">
      <c r="A351" s="218"/>
      <c r="B351" s="218"/>
      <c r="C351" s="218"/>
      <c r="D351" s="1275"/>
      <c r="E351" s="1275"/>
      <c r="F351" s="1275"/>
      <c r="G351"/>
    </row>
    <row r="352" spans="1:7">
      <c r="A352" s="218"/>
      <c r="B352" s="218"/>
      <c r="C352" s="218"/>
      <c r="D352" s="1275"/>
      <c r="E352" s="1275"/>
      <c r="F352" s="1275"/>
      <c r="G352"/>
    </row>
    <row r="353" spans="1:7">
      <c r="A353" s="218"/>
      <c r="B353" s="218"/>
      <c r="C353" s="218"/>
      <c r="D353" s="1275"/>
      <c r="E353" s="1275"/>
      <c r="F353" s="1275"/>
      <c r="G353"/>
    </row>
    <row r="354" spans="1:7">
      <c r="A354" s="218"/>
      <c r="B354" s="218"/>
      <c r="C354" s="218"/>
      <c r="D354" s="1275"/>
      <c r="E354" s="1275"/>
      <c r="F354" s="1275"/>
      <c r="G354"/>
    </row>
    <row r="355" spans="1:7">
      <c r="A355" s="218"/>
      <c r="B355" s="218"/>
      <c r="C355" s="218"/>
      <c r="D355" s="1275"/>
      <c r="E355" s="1275"/>
      <c r="F355" s="1275"/>
      <c r="G355"/>
    </row>
    <row r="356" spans="1:7">
      <c r="A356" s="218"/>
      <c r="B356" s="218"/>
      <c r="C356" s="218"/>
      <c r="D356" s="1275"/>
      <c r="E356" s="1275"/>
      <c r="F356" s="1275"/>
      <c r="G356"/>
    </row>
    <row r="357" spans="1:7">
      <c r="A357" s="218"/>
      <c r="B357" s="218"/>
      <c r="C357" s="347"/>
      <c r="D357" s="1275"/>
      <c r="E357" s="1275"/>
      <c r="F357" s="1275"/>
      <c r="G357"/>
    </row>
    <row r="358" spans="1:7">
      <c r="A358" s="218"/>
      <c r="B358" s="218"/>
      <c r="C358" s="347"/>
      <c r="D358" s="1275"/>
      <c r="E358" s="1275"/>
      <c r="F358" s="1275"/>
      <c r="G358"/>
    </row>
    <row r="359" spans="1:7">
      <c r="A359" s="218"/>
      <c r="B359" s="218"/>
      <c r="C359" s="218"/>
      <c r="D359" s="1275"/>
      <c r="E359" s="1275"/>
      <c r="F359" s="1275"/>
      <c r="G359"/>
    </row>
    <row r="360" spans="1:7">
      <c r="A360" s="218"/>
      <c r="B360" s="218"/>
      <c r="C360" s="347"/>
      <c r="D360" s="1275"/>
      <c r="E360" s="1275"/>
      <c r="F360" s="1275"/>
      <c r="G360"/>
    </row>
    <row r="361" spans="1:7">
      <c r="A361" s="218"/>
      <c r="B361" s="218"/>
      <c r="C361" s="347"/>
      <c r="D361" s="1275"/>
      <c r="E361" s="1275"/>
      <c r="F361" s="1275"/>
      <c r="G361"/>
    </row>
    <row r="362" spans="1:7">
      <c r="A362" s="218"/>
      <c r="B362" s="218"/>
      <c r="C362" s="347"/>
      <c r="D362" s="1275"/>
      <c r="E362" s="1275"/>
      <c r="F362" s="1275"/>
      <c r="G362"/>
    </row>
    <row r="363" spans="1:7">
      <c r="A363" s="218"/>
      <c r="B363" s="218"/>
      <c r="C363" s="218"/>
      <c r="D363" s="220"/>
      <c r="E363" s="220"/>
      <c r="F363" s="35"/>
      <c r="G363"/>
    </row>
    <row r="364" spans="1:7">
      <c r="A364" s="218"/>
      <c r="B364" s="468" t="s">
        <v>308</v>
      </c>
      <c r="C364" s="218"/>
      <c r="D364" s="1275" t="s">
        <v>1229</v>
      </c>
      <c r="E364" s="1275"/>
      <c r="F364" s="1275"/>
      <c r="G364"/>
    </row>
    <row r="365" spans="1:7">
      <c r="A365" s="218"/>
      <c r="B365" s="218"/>
      <c r="C365" s="218"/>
      <c r="D365" s="1275"/>
      <c r="E365" s="1275"/>
      <c r="F365" s="1275"/>
      <c r="G365"/>
    </row>
    <row r="366" spans="1:7">
      <c r="A366" s="218"/>
      <c r="B366" s="218"/>
      <c r="C366" s="218"/>
      <c r="D366" s="220"/>
      <c r="E366" s="220"/>
      <c r="F366" s="35"/>
      <c r="G366"/>
    </row>
    <row r="367" spans="1:7" ht="14.25">
      <c r="A367" s="176"/>
      <c r="B367" s="468" t="s">
        <v>308</v>
      </c>
      <c r="C367" s="218"/>
      <c r="D367" s="1275" t="s">
        <v>1230</v>
      </c>
      <c r="E367" s="1275"/>
      <c r="F367" s="1275"/>
      <c r="G367"/>
    </row>
    <row r="368" spans="1:7" ht="14.25">
      <c r="A368" s="346"/>
      <c r="B368" s="346"/>
      <c r="C368" s="218"/>
      <c r="D368" s="1275"/>
      <c r="E368" s="1275"/>
      <c r="F368" s="1275"/>
      <c r="G368"/>
    </row>
    <row r="369" spans="1:7" ht="14.25">
      <c r="A369" s="346"/>
      <c r="B369" s="346"/>
      <c r="C369" s="218"/>
      <c r="D369" s="1275"/>
      <c r="E369" s="1275"/>
      <c r="F369" s="1275"/>
      <c r="G369"/>
    </row>
    <row r="370" spans="1:7" ht="14.25">
      <c r="A370" s="346"/>
      <c r="B370" s="346"/>
      <c r="C370" s="218"/>
      <c r="D370" s="1275"/>
      <c r="E370" s="1275"/>
      <c r="F370" s="1275"/>
      <c r="G370"/>
    </row>
    <row r="371" spans="1:7" ht="14.25">
      <c r="A371" s="346"/>
      <c r="B371" s="346"/>
      <c r="C371" s="218"/>
      <c r="D371" s="1275"/>
      <c r="E371" s="1275"/>
      <c r="F371" s="1275"/>
      <c r="G371"/>
    </row>
    <row r="372" spans="1:7">
      <c r="D372" s="35"/>
      <c r="E372" s="35"/>
      <c r="F372" s="35"/>
      <c r="G372"/>
    </row>
    <row r="373" spans="1:7" ht="14.25">
      <c r="A373" s="176"/>
      <c r="B373" s="468" t="s">
        <v>308</v>
      </c>
      <c r="C373" s="179"/>
      <c r="D373" s="1272" t="s">
        <v>1231</v>
      </c>
      <c r="E373" s="1272"/>
      <c r="F373" s="1272"/>
      <c r="G373"/>
    </row>
    <row r="374" spans="1:7" ht="14.25">
      <c r="A374" s="176"/>
      <c r="B374" s="176"/>
      <c r="D374" s="1272"/>
      <c r="E374" s="1272"/>
      <c r="F374" s="1272"/>
      <c r="G374"/>
    </row>
    <row r="375" spans="1:7">
      <c r="D375" s="1272"/>
      <c r="E375" s="1272"/>
      <c r="F375" s="1272"/>
      <c r="G375"/>
    </row>
    <row r="376" spans="1:7">
      <c r="D376" s="1272"/>
      <c r="E376" s="1272"/>
      <c r="F376" s="1272"/>
      <c r="G376"/>
    </row>
    <row r="377" spans="1:7">
      <c r="D377" s="1272"/>
      <c r="E377" s="1272"/>
      <c r="F377" s="1272"/>
      <c r="G377"/>
    </row>
    <row r="378" spans="1:7">
      <c r="D378" s="1272"/>
      <c r="E378" s="1272"/>
      <c r="F378" s="1272"/>
      <c r="G378"/>
    </row>
    <row r="379" spans="1:7">
      <c r="D379" s="1272"/>
      <c r="E379" s="1272"/>
      <c r="F379" s="1272"/>
      <c r="G379"/>
    </row>
    <row r="380" spans="1:7">
      <c r="D380" s="1272"/>
      <c r="E380" s="1272"/>
      <c r="F380" s="1272"/>
      <c r="G380"/>
    </row>
    <row r="381" spans="1:7">
      <c r="D381" s="1272"/>
      <c r="E381" s="1272"/>
      <c r="F381" s="1272"/>
      <c r="G381"/>
    </row>
    <row r="382" spans="1:7">
      <c r="D382" s="1272"/>
      <c r="E382" s="1272"/>
      <c r="F382" s="1272"/>
      <c r="G382"/>
    </row>
    <row r="383" spans="1:7">
      <c r="D383" s="1272"/>
      <c r="E383" s="1272"/>
      <c r="F383" s="1272"/>
      <c r="G383"/>
    </row>
    <row r="384" spans="1:7">
      <c r="D384" s="1272"/>
      <c r="E384" s="1272"/>
      <c r="F384" s="1272"/>
      <c r="G384"/>
    </row>
    <row r="385" spans="1:7">
      <c r="D385" s="1272"/>
      <c r="E385" s="1272"/>
      <c r="F385" s="1272"/>
      <c r="G385"/>
    </row>
    <row r="386" spans="1:7">
      <c r="A386"/>
      <c r="B386"/>
      <c r="C386"/>
      <c r="D386" s="1272"/>
      <c r="E386" s="1272"/>
      <c r="F386" s="1272"/>
      <c r="G386"/>
    </row>
    <row r="387" spans="1:7">
      <c r="A387"/>
      <c r="B387"/>
      <c r="C387"/>
      <c r="D387" s="1272"/>
      <c r="E387" s="1272"/>
      <c r="F387" s="1272"/>
      <c r="G387"/>
    </row>
    <row r="388" spans="1:7">
      <c r="A388"/>
      <c r="B388"/>
      <c r="C388"/>
      <c r="D388" s="1272"/>
      <c r="E388" s="1272"/>
      <c r="F388" s="1272"/>
      <c r="G388"/>
    </row>
    <row r="389" spans="1:7">
      <c r="A389"/>
      <c r="B389"/>
      <c r="C389"/>
      <c r="D389" s="1272"/>
      <c r="E389" s="1272"/>
      <c r="F389" s="1272"/>
      <c r="G389"/>
    </row>
    <row r="390" spans="1:7">
      <c r="A390"/>
      <c r="B390"/>
      <c r="C390"/>
      <c r="D390" s="1272"/>
      <c r="E390" s="1272"/>
      <c r="F390" s="1272"/>
      <c r="G390"/>
    </row>
    <row r="391" spans="1:7">
      <c r="A391"/>
      <c r="B391"/>
      <c r="C391"/>
      <c r="D391" s="1272"/>
      <c r="E391" s="1272"/>
      <c r="F391" s="1272"/>
      <c r="G391"/>
    </row>
    <row r="392" spans="1:7">
      <c r="A392"/>
      <c r="B392"/>
      <c r="C392"/>
      <c r="D392" s="1272"/>
      <c r="E392" s="1272"/>
      <c r="F392" s="1272"/>
      <c r="G392"/>
    </row>
    <row r="393" spans="1:7">
      <c r="A393"/>
      <c r="B393"/>
      <c r="C393"/>
      <c r="D393" s="1272"/>
      <c r="E393" s="1272"/>
      <c r="F393" s="1272"/>
      <c r="G393"/>
    </row>
    <row r="394" spans="1:7">
      <c r="A394"/>
      <c r="B394"/>
      <c r="C394"/>
      <c r="D394" s="1272"/>
      <c r="E394" s="1272"/>
      <c r="F394" s="1272"/>
      <c r="G394"/>
    </row>
    <row r="395" spans="1:7">
      <c r="A395"/>
      <c r="B395"/>
      <c r="C395"/>
      <c r="D395" s="1272"/>
      <c r="E395" s="1272"/>
      <c r="F395" s="1272"/>
      <c r="G395"/>
    </row>
    <row r="396" spans="1:7">
      <c r="A396"/>
      <c r="B396"/>
      <c r="C396"/>
      <c r="D396" s="1272"/>
      <c r="E396" s="1272"/>
      <c r="F396" s="1272"/>
      <c r="G396"/>
    </row>
    <row r="397" spans="1:7">
      <c r="A397"/>
      <c r="B397"/>
      <c r="C397"/>
      <c r="D397" s="1272"/>
      <c r="E397" s="1272"/>
      <c r="F397" s="1272"/>
      <c r="G397"/>
    </row>
    <row r="398" spans="1:7">
      <c r="A398"/>
      <c r="B398"/>
      <c r="C398"/>
      <c r="D398" s="1272"/>
      <c r="E398" s="1272"/>
      <c r="F398" s="1272"/>
      <c r="G398"/>
    </row>
    <row r="399" spans="1:7">
      <c r="A399"/>
      <c r="B399"/>
      <c r="C399"/>
      <c r="D399" s="1272"/>
      <c r="E399" s="1272"/>
      <c r="F399" s="1272"/>
      <c r="G399"/>
    </row>
    <row r="400" spans="1:7">
      <c r="A400"/>
      <c r="B400"/>
      <c r="C400"/>
      <c r="D400" s="1272"/>
      <c r="E400" s="1272"/>
      <c r="F400" s="1272"/>
      <c r="G400"/>
    </row>
    <row r="401" spans="1:7">
      <c r="A401"/>
      <c r="B401"/>
      <c r="C401"/>
      <c r="D401" s="1272"/>
      <c r="E401" s="1272"/>
      <c r="F401" s="1272"/>
      <c r="G401"/>
    </row>
    <row r="402" spans="1:7">
      <c r="D402" s="1272"/>
      <c r="E402" s="1272"/>
      <c r="F402" s="1272"/>
    </row>
    <row r="403" spans="1:7" ht="40.700000000000003" customHeight="1">
      <c r="D403" s="1272"/>
      <c r="E403" s="1272"/>
      <c r="F403" s="1272"/>
    </row>
    <row r="404" spans="1:7">
      <c r="D404" s="35"/>
      <c r="E404" s="35"/>
      <c r="F404" s="35"/>
    </row>
    <row r="405" spans="1:7" ht="14.25">
      <c r="A405" s="176"/>
      <c r="B405" s="468" t="s">
        <v>308</v>
      </c>
      <c r="C405" s="179"/>
      <c r="D405" s="1292" t="s">
        <v>1232</v>
      </c>
      <c r="E405" s="1292"/>
      <c r="F405" s="1292"/>
    </row>
    <row r="406" spans="1:7">
      <c r="D406" s="1317" t="s">
        <v>1007</v>
      </c>
      <c r="E406" s="1317"/>
      <c r="F406" s="1317"/>
    </row>
    <row r="407" spans="1:7">
      <c r="D407" s="1272" t="s">
        <v>1233</v>
      </c>
      <c r="E407" s="1272"/>
      <c r="F407" s="1272"/>
    </row>
    <row r="408" spans="1:7">
      <c r="D408" s="1272"/>
      <c r="E408" s="1272"/>
      <c r="F408" s="1272"/>
    </row>
    <row r="409" spans="1:7">
      <c r="D409" s="1272"/>
      <c r="E409" s="1272"/>
      <c r="F409" s="1272"/>
    </row>
    <row r="410" spans="1:7">
      <c r="D410" s="1272"/>
      <c r="E410" s="1272"/>
      <c r="F410" s="1272"/>
    </row>
    <row r="411" spans="1:7">
      <c r="D411" s="35"/>
      <c r="E411" s="35"/>
      <c r="F411" s="35"/>
      <c r="G411"/>
    </row>
    <row r="412" spans="1:7" ht="14.25">
      <c r="A412" s="176"/>
      <c r="B412" s="468" t="s">
        <v>308</v>
      </c>
      <c r="C412" s="179"/>
      <c r="D412" s="1272" t="s">
        <v>1234</v>
      </c>
      <c r="E412" s="1272"/>
      <c r="F412" s="1272"/>
      <c r="G412"/>
    </row>
    <row r="413" spans="1:7">
      <c r="D413" s="1272"/>
      <c r="E413" s="1272"/>
      <c r="F413" s="1272"/>
      <c r="G413"/>
    </row>
    <row r="414" spans="1:7">
      <c r="D414" s="1272"/>
      <c r="E414" s="1272"/>
      <c r="F414" s="1272"/>
      <c r="G414"/>
    </row>
    <row r="415" spans="1:7">
      <c r="D415" s="474"/>
      <c r="E415" s="474"/>
      <c r="F415" s="474"/>
      <c r="G415"/>
    </row>
    <row r="416" spans="1:7" ht="14.25">
      <c r="B416" s="468" t="s">
        <v>308</v>
      </c>
      <c r="C416" s="176"/>
      <c r="D416" s="1272" t="s">
        <v>1235</v>
      </c>
      <c r="E416" s="1272"/>
      <c r="F416" s="1272"/>
      <c r="G416"/>
    </row>
    <row r="417" spans="1:7">
      <c r="D417" s="1272"/>
      <c r="E417" s="1272"/>
      <c r="F417" s="1272"/>
      <c r="G417"/>
    </row>
    <row r="418" spans="1:7">
      <c r="D418" s="35"/>
      <c r="E418" s="35"/>
      <c r="F418" s="35"/>
      <c r="G418"/>
    </row>
    <row r="419" spans="1:7" ht="14.25">
      <c r="B419" s="468" t="s">
        <v>308</v>
      </c>
      <c r="C419" s="176"/>
      <c r="D419" s="1272" t="s">
        <v>1236</v>
      </c>
      <c r="E419" s="1272"/>
      <c r="F419" s="1272"/>
      <c r="G419"/>
    </row>
    <row r="420" spans="1:7">
      <c r="D420" s="1272"/>
      <c r="E420" s="1272"/>
      <c r="F420" s="1272"/>
      <c r="G420"/>
    </row>
    <row r="421" spans="1:7">
      <c r="D421" s="1272"/>
      <c r="E421" s="1272"/>
      <c r="F421" s="1272"/>
      <c r="G421"/>
    </row>
    <row r="422" spans="1:7">
      <c r="D422" s="1272"/>
      <c r="E422" s="1272"/>
      <c r="F422" s="1272"/>
      <c r="G422"/>
    </row>
    <row r="423" spans="1:7">
      <c r="B423" s="468" t="s">
        <v>308</v>
      </c>
      <c r="D423" s="1272"/>
      <c r="E423" s="1272"/>
      <c r="F423" s="1272"/>
      <c r="G423"/>
    </row>
    <row r="424" spans="1:7">
      <c r="A424"/>
      <c r="B424"/>
      <c r="C424"/>
      <c r="D424" s="1272"/>
      <c r="E424" s="1272"/>
      <c r="F424" s="1272"/>
      <c r="G424"/>
    </row>
    <row r="425" spans="1:7">
      <c r="A425"/>
      <c r="C425"/>
      <c r="D425" s="1272"/>
      <c r="E425" s="1272"/>
      <c r="F425" s="1272"/>
      <c r="G425"/>
    </row>
    <row r="426" spans="1:7">
      <c r="A426"/>
      <c r="B426" s="468" t="s">
        <v>308</v>
      </c>
      <c r="C426"/>
      <c r="D426" s="1272"/>
      <c r="E426" s="1272"/>
      <c r="F426" s="1272"/>
      <c r="G426"/>
    </row>
    <row r="427" spans="1:7">
      <c r="A427"/>
      <c r="B427"/>
      <c r="C427"/>
      <c r="D427" s="1272"/>
      <c r="E427" s="1272"/>
      <c r="F427" s="1272"/>
      <c r="G427"/>
    </row>
    <row r="428" spans="1:7">
      <c r="A428"/>
      <c r="C428"/>
      <c r="D428" s="1272"/>
      <c r="E428" s="1272"/>
      <c r="F428" s="1272"/>
      <c r="G428"/>
    </row>
    <row r="429" spans="1:7">
      <c r="A429"/>
      <c r="C429"/>
      <c r="D429" s="1272"/>
      <c r="E429" s="1272"/>
      <c r="F429" s="1272"/>
      <c r="G429"/>
    </row>
    <row r="430" spans="1:7">
      <c r="A430"/>
      <c r="B430" s="468" t="s">
        <v>308</v>
      </c>
      <c r="C430"/>
      <c r="D430" s="1272"/>
      <c r="E430" s="1272"/>
      <c r="F430" s="1272"/>
      <c r="G430"/>
    </row>
    <row r="431" spans="1:7">
      <c r="A431"/>
      <c r="B431"/>
      <c r="C431"/>
      <c r="D431" s="1272"/>
      <c r="E431" s="1272"/>
      <c r="F431" s="1272"/>
      <c r="G431"/>
    </row>
    <row r="432" spans="1:7">
      <c r="A432"/>
      <c r="B432" s="468" t="s">
        <v>308</v>
      </c>
      <c r="C432"/>
      <c r="D432" s="1272"/>
      <c r="E432" s="1272"/>
      <c r="F432" s="1272"/>
      <c r="G432"/>
    </row>
    <row r="433" spans="1:7">
      <c r="A433"/>
      <c r="B433"/>
      <c r="C433"/>
      <c r="D433" s="474"/>
      <c r="E433" s="474"/>
      <c r="F433" s="474"/>
      <c r="G433"/>
    </row>
    <row r="434" spans="1:7">
      <c r="A434"/>
      <c r="B434" s="468" t="s">
        <v>308</v>
      </c>
      <c r="C434"/>
      <c r="D434" s="1272" t="s">
        <v>1237</v>
      </c>
      <c r="E434" s="1272"/>
      <c r="F434" s="1272"/>
      <c r="G434"/>
    </row>
    <row r="435" spans="1:7">
      <c r="A435"/>
      <c r="B435"/>
      <c r="C435"/>
      <c r="D435" s="1272"/>
      <c r="E435" s="1272"/>
      <c r="F435" s="1272"/>
      <c r="G435"/>
    </row>
    <row r="436" spans="1:7">
      <c r="A436"/>
      <c r="B436"/>
      <c r="C436"/>
      <c r="D436" s="1272"/>
      <c r="E436" s="1272"/>
      <c r="F436" s="1272"/>
      <c r="G436"/>
    </row>
    <row r="437" spans="1:7">
      <c r="A437"/>
      <c r="B437"/>
      <c r="C437"/>
      <c r="D437" s="1272"/>
      <c r="E437" s="1272"/>
      <c r="F437" s="1272"/>
      <c r="G437"/>
    </row>
    <row r="438" spans="1:7">
      <c r="D438" s="1272"/>
      <c r="E438" s="1272"/>
      <c r="F438" s="1272"/>
    </row>
    <row r="439" spans="1:7">
      <c r="D439" s="35"/>
      <c r="E439" s="35"/>
      <c r="F439" s="35"/>
    </row>
    <row r="440" spans="1:7">
      <c r="B440" s="468" t="s">
        <v>308</v>
      </c>
      <c r="D440" s="1292" t="s">
        <v>1238</v>
      </c>
      <c r="E440" s="1292"/>
      <c r="F440" s="1292"/>
    </row>
    <row r="441" spans="1:7">
      <c r="A441" s="35"/>
      <c r="B441" s="35"/>
    </row>
    <row r="442" spans="1:7">
      <c r="A442" s="1293" t="s">
        <v>1079</v>
      </c>
      <c r="B442" s="1293"/>
      <c r="C442" s="1293"/>
      <c r="D442" s="1293"/>
      <c r="E442" s="1293"/>
      <c r="F442" s="1293"/>
      <c r="G442" s="1293"/>
    </row>
    <row r="443" spans="1:7">
      <c r="A443" s="35"/>
      <c r="B443" s="35"/>
    </row>
    <row r="444" spans="1:7">
      <c r="D444" s="1323" t="s">
        <v>896</v>
      </c>
      <c r="E444" s="1323"/>
      <c r="F444" s="1323"/>
    </row>
    <row r="445" spans="1:7" ht="14.25">
      <c r="A445" s="176"/>
      <c r="B445" s="176"/>
      <c r="D445" s="1320" t="s">
        <v>1239</v>
      </c>
      <c r="E445" s="1320"/>
      <c r="F445" s="1320"/>
    </row>
    <row r="446" spans="1:7" ht="14.25">
      <c r="A446" s="176"/>
      <c r="B446" s="176"/>
      <c r="D446" s="481"/>
      <c r="E446" s="3"/>
      <c r="F446" s="3"/>
    </row>
    <row r="447" spans="1:7" ht="14.25">
      <c r="A447" s="176"/>
      <c r="B447" s="468" t="s">
        <v>308</v>
      </c>
      <c r="D447" s="1275" t="s">
        <v>1240</v>
      </c>
      <c r="E447" s="1275"/>
      <c r="F447" s="1275"/>
    </row>
    <row r="448" spans="1:7" ht="14.25">
      <c r="A448" s="176"/>
      <c r="B448" s="176"/>
      <c r="D448" s="1275"/>
      <c r="E448" s="1275"/>
      <c r="F448" s="1275"/>
    </row>
    <row r="449" spans="1:7" ht="14.25">
      <c r="A449" s="176"/>
      <c r="B449" s="176"/>
      <c r="D449" s="118"/>
      <c r="E449" s="3"/>
      <c r="F449" s="3"/>
    </row>
    <row r="450" spans="1:7">
      <c r="B450" s="468" t="s">
        <v>308</v>
      </c>
      <c r="D450" s="1309" t="s">
        <v>1241</v>
      </c>
      <c r="E450" s="1309"/>
      <c r="F450" s="1309"/>
    </row>
    <row r="451" spans="1:7" ht="14.25">
      <c r="A451" s="176"/>
      <c r="D451" s="1309"/>
      <c r="E451" s="1309"/>
      <c r="F451" s="1309"/>
    </row>
    <row r="452" spans="1:7" ht="14.25">
      <c r="A452" s="176"/>
      <c r="B452" s="176"/>
      <c r="D452" s="1309"/>
      <c r="E452" s="1309"/>
      <c r="F452" s="1309"/>
    </row>
    <row r="453" spans="1:7" ht="14.25">
      <c r="A453" s="176"/>
      <c r="B453" s="176"/>
      <c r="D453" s="1309"/>
      <c r="E453" s="1309"/>
      <c r="F453" s="1309"/>
    </row>
    <row r="454" spans="1:7">
      <c r="D454" s="3"/>
      <c r="E454" s="3"/>
      <c r="F454" s="3"/>
      <c r="G454"/>
    </row>
    <row r="455" spans="1:7" ht="14.25">
      <c r="A455" s="176"/>
      <c r="B455" s="468" t="s">
        <v>308</v>
      </c>
      <c r="D455" s="1272" t="s">
        <v>1242</v>
      </c>
      <c r="E455" s="1272"/>
      <c r="F455" s="1272"/>
      <c r="G455"/>
    </row>
    <row r="456" spans="1:7" ht="14.25">
      <c r="A456" s="176"/>
      <c r="B456" s="176"/>
      <c r="D456" s="1272"/>
      <c r="E456" s="1272"/>
      <c r="F456" s="1272"/>
      <c r="G456"/>
    </row>
    <row r="457" spans="1:7" ht="14.25">
      <c r="A457" s="176"/>
      <c r="D457" s="1272"/>
      <c r="E457" s="1272"/>
      <c r="F457" s="1272"/>
      <c r="G457"/>
    </row>
    <row r="458" spans="1:7" ht="14.25">
      <c r="A458" s="176"/>
      <c r="B458" s="176"/>
      <c r="D458" s="3"/>
      <c r="E458" s="3"/>
      <c r="F458" s="3"/>
      <c r="G458"/>
    </row>
    <row r="459" spans="1:7" ht="14.25">
      <c r="A459" s="176"/>
      <c r="B459" s="468" t="s">
        <v>308</v>
      </c>
      <c r="D459" s="1292" t="s">
        <v>1243</v>
      </c>
      <c r="E459" s="1292"/>
      <c r="F459" s="1292"/>
      <c r="G459"/>
    </row>
    <row r="460" spans="1:7" ht="14.25">
      <c r="A460" s="176"/>
      <c r="B460" s="176"/>
      <c r="D460" s="118"/>
      <c r="E460" s="3"/>
      <c r="F460" s="3"/>
      <c r="G460"/>
    </row>
    <row r="461" spans="1:7" ht="14.25">
      <c r="A461" s="176"/>
      <c r="B461" s="468" t="s">
        <v>308</v>
      </c>
      <c r="D461" s="1272" t="s">
        <v>1244</v>
      </c>
      <c r="E461" s="1272"/>
      <c r="F461" s="1272"/>
      <c r="G461"/>
    </row>
    <row r="462" spans="1:7" ht="14.25">
      <c r="A462" s="176"/>
      <c r="D462" s="1272"/>
      <c r="E462" s="1272"/>
      <c r="F462" s="1272"/>
      <c r="G462"/>
    </row>
    <row r="463" spans="1:7">
      <c r="A463" s="13"/>
      <c r="B463" s="13"/>
      <c r="D463" s="481"/>
      <c r="E463" s="3"/>
      <c r="F463" s="3"/>
      <c r="G463"/>
    </row>
    <row r="464" spans="1:7">
      <c r="A464" s="13"/>
      <c r="B464" s="468" t="s">
        <v>308</v>
      </c>
      <c r="D464" s="1292" t="s">
        <v>1245</v>
      </c>
      <c r="E464" s="1292"/>
      <c r="F464" s="1292"/>
      <c r="G464"/>
    </row>
    <row r="465" spans="1:7" ht="14.25">
      <c r="A465" s="176"/>
      <c r="B465" s="176"/>
      <c r="D465" s="35"/>
    </row>
    <row r="466" spans="1:7">
      <c r="A466" s="1293" t="s">
        <v>1080</v>
      </c>
      <c r="B466" s="1293"/>
      <c r="C466" s="1293"/>
      <c r="D466" s="1293"/>
      <c r="E466" s="1293"/>
      <c r="F466" s="1293"/>
      <c r="G466" s="1293"/>
    </row>
    <row r="467" spans="1:7" ht="12" customHeight="1">
      <c r="A467" s="176"/>
      <c r="B467" s="176"/>
      <c r="D467" s="35"/>
    </row>
    <row r="468" spans="1:7">
      <c r="C468" s="172"/>
      <c r="D468" s="1291" t="s">
        <v>803</v>
      </c>
      <c r="E468" s="1291"/>
      <c r="F468" s="1291"/>
    </row>
    <row r="469" spans="1:7" ht="13.15" customHeight="1">
      <c r="A469" s="175"/>
      <c r="B469" s="175"/>
      <c r="C469" s="175"/>
      <c r="D469" s="1324" t="s">
        <v>1123</v>
      </c>
      <c r="E469" s="1324"/>
      <c r="F469" s="1324"/>
    </row>
    <row r="470" spans="1:7">
      <c r="A470" s="175"/>
      <c r="B470" s="175"/>
      <c r="C470" s="175"/>
      <c r="D470" s="1324"/>
      <c r="E470" s="1324"/>
      <c r="F470" s="1324"/>
    </row>
    <row r="471" spans="1:7">
      <c r="A471" s="175"/>
      <c r="B471" s="175"/>
      <c r="C471" s="175"/>
      <c r="D471" s="1324"/>
      <c r="E471" s="1324"/>
      <c r="F471" s="1324"/>
    </row>
    <row r="472" spans="1:7">
      <c r="A472" s="175"/>
      <c r="B472" s="175"/>
      <c r="C472" s="175"/>
      <c r="D472" s="1324"/>
      <c r="E472" s="1324"/>
      <c r="F472" s="1324"/>
    </row>
    <row r="473" spans="1:7">
      <c r="A473" s="175"/>
      <c r="B473" s="175"/>
      <c r="C473" s="175"/>
      <c r="D473" s="1324"/>
      <c r="E473" s="1324"/>
      <c r="F473" s="1324"/>
    </row>
    <row r="474" spans="1:7">
      <c r="A474" s="175"/>
      <c r="B474" s="175"/>
      <c r="C474" s="175"/>
      <c r="D474" s="326"/>
      <c r="F474" s="35"/>
    </row>
    <row r="475" spans="1:7" ht="14.45" customHeight="1">
      <c r="A475" s="176"/>
      <c r="B475" s="468" t="s">
        <v>308</v>
      </c>
      <c r="C475" s="175"/>
      <c r="D475" s="1308" t="s">
        <v>1114</v>
      </c>
      <c r="E475" s="1308"/>
      <c r="F475" s="1308"/>
    </row>
    <row r="476" spans="1:7">
      <c r="A476" s="175"/>
      <c r="B476" s="175"/>
      <c r="C476" s="175"/>
      <c r="D476" s="1308"/>
      <c r="E476" s="1308"/>
      <c r="F476" s="1308"/>
    </row>
    <row r="477" spans="1:7">
      <c r="A477" s="175"/>
      <c r="B477" s="175"/>
      <c r="C477" s="175"/>
      <c r="D477" s="1308"/>
      <c r="E477" s="1308"/>
      <c r="F477" s="1308"/>
    </row>
    <row r="478" spans="1:7">
      <c r="A478" s="175"/>
      <c r="B478" s="175"/>
      <c r="C478" s="175"/>
      <c r="D478" s="1308"/>
      <c r="E478" s="1308"/>
      <c r="F478" s="1308"/>
    </row>
    <row r="479" spans="1:7">
      <c r="A479" s="175"/>
      <c r="B479" s="175"/>
      <c r="C479" s="175"/>
      <c r="D479" s="1308"/>
      <c r="E479" s="1308"/>
      <c r="F479" s="1308"/>
    </row>
    <row r="480" spans="1:7">
      <c r="A480" s="175"/>
      <c r="B480" s="175"/>
      <c r="C480" s="175"/>
      <c r="D480" s="220"/>
      <c r="F480" s="35"/>
    </row>
    <row r="481" spans="1:6" ht="14.45" customHeight="1">
      <c r="A481" s="176"/>
      <c r="B481" s="468" t="s">
        <v>308</v>
      </c>
      <c r="C481" s="175"/>
      <c r="D481" s="1308" t="s">
        <v>1117</v>
      </c>
      <c r="E481" s="1308"/>
      <c r="F481" s="1308"/>
    </row>
    <row r="482" spans="1:6">
      <c r="A482" s="175"/>
      <c r="B482" s="175"/>
      <c r="C482" s="175"/>
      <c r="D482" s="1308"/>
      <c r="E482" s="1308"/>
      <c r="F482" s="1308"/>
    </row>
    <row r="483" spans="1:6">
      <c r="A483" s="175"/>
      <c r="B483" s="175"/>
      <c r="C483" s="175"/>
      <c r="D483" s="1308"/>
      <c r="E483" s="1308"/>
      <c r="F483" s="1308"/>
    </row>
    <row r="484" spans="1:6">
      <c r="A484" s="175"/>
      <c r="B484" s="175"/>
      <c r="C484" s="175"/>
      <c r="D484" s="1308"/>
      <c r="E484" s="1308"/>
      <c r="F484" s="1308"/>
    </row>
    <row r="485" spans="1:6" ht="9.9499999999999993" customHeight="1">
      <c r="A485" s="175"/>
      <c r="B485" s="175"/>
      <c r="C485" s="175"/>
      <c r="D485" s="220"/>
      <c r="F485" s="35"/>
    </row>
    <row r="486" spans="1:6" ht="14.45" customHeight="1">
      <c r="A486" s="176"/>
      <c r="B486" s="468" t="s">
        <v>308</v>
      </c>
      <c r="C486" s="175"/>
      <c r="D486" s="1308" t="s">
        <v>1115</v>
      </c>
      <c r="E486" s="1308"/>
      <c r="F486" s="1308"/>
    </row>
    <row r="487" spans="1:6">
      <c r="A487" s="175"/>
      <c r="B487" s="175"/>
      <c r="C487" s="175"/>
      <c r="D487" s="1308"/>
      <c r="E487" s="1308"/>
      <c r="F487" s="1308"/>
    </row>
    <row r="488" spans="1:6">
      <c r="A488" s="175"/>
      <c r="B488" s="175"/>
      <c r="C488" s="175"/>
      <c r="D488" s="1308"/>
      <c r="E488" s="1308"/>
      <c r="F488" s="1308"/>
    </row>
    <row r="489" spans="1:6">
      <c r="A489" s="175"/>
      <c r="B489" s="175"/>
      <c r="C489" s="175"/>
      <c r="D489" s="475"/>
      <c r="E489" s="475"/>
      <c r="F489" s="475"/>
    </row>
    <row r="490" spans="1:6" ht="14.45" customHeight="1">
      <c r="A490" s="176"/>
      <c r="B490" s="468" t="s">
        <v>308</v>
      </c>
      <c r="C490" s="175"/>
      <c r="D490" s="1308" t="s">
        <v>1116</v>
      </c>
      <c r="E490" s="1308"/>
      <c r="F490" s="1308"/>
    </row>
    <row r="491" spans="1:6">
      <c r="A491" s="175"/>
      <c r="B491" s="175"/>
      <c r="C491" s="175"/>
      <c r="D491" s="1308"/>
      <c r="E491" s="1308"/>
      <c r="F491" s="1308"/>
    </row>
    <row r="492" spans="1:6">
      <c r="A492" s="175"/>
      <c r="B492" s="175"/>
      <c r="C492" s="175"/>
      <c r="D492" s="1308"/>
      <c r="E492" s="1308"/>
      <c r="F492" s="1308"/>
    </row>
    <row r="493" spans="1:6">
      <c r="A493" s="175"/>
      <c r="B493" s="175"/>
      <c r="C493" s="175"/>
      <c r="D493" s="1308"/>
      <c r="E493" s="1308"/>
      <c r="F493" s="1308"/>
    </row>
    <row r="494" spans="1:6">
      <c r="A494" s="175"/>
      <c r="B494" s="175"/>
      <c r="C494" s="175"/>
      <c r="D494" s="1308"/>
      <c r="E494" s="1308"/>
      <c r="F494" s="1308"/>
    </row>
    <row r="495" spans="1:6">
      <c r="A495" s="175"/>
      <c r="B495" s="175"/>
      <c r="C495" s="175"/>
      <c r="D495" s="1308"/>
      <c r="E495" s="1308"/>
      <c r="F495" s="1308"/>
    </row>
    <row r="496" spans="1:6">
      <c r="A496" s="175"/>
      <c r="B496" s="175"/>
      <c r="C496" s="175"/>
      <c r="D496" s="1308"/>
      <c r="E496" s="1308"/>
      <c r="F496" s="1308"/>
    </row>
    <row r="497" spans="1:7">
      <c r="A497" s="175"/>
      <c r="B497" s="175"/>
      <c r="C497" s="175"/>
      <c r="D497" s="1308"/>
      <c r="E497" s="1308"/>
      <c r="F497" s="1308"/>
    </row>
    <row r="498" spans="1:7">
      <c r="A498" s="175"/>
      <c r="B498" s="175"/>
      <c r="C498" s="175"/>
      <c r="D498" s="1308"/>
      <c r="E498" s="1308"/>
      <c r="F498" s="1308"/>
    </row>
    <row r="499" spans="1:7">
      <c r="A499" s="175"/>
      <c r="B499" s="175"/>
      <c r="C499" s="175"/>
      <c r="D499" s="220"/>
      <c r="F499" s="35"/>
    </row>
    <row r="500" spans="1:7" ht="13.15" customHeight="1">
      <c r="A500" s="175"/>
      <c r="B500" s="468" t="s">
        <v>308</v>
      </c>
      <c r="C500" s="175"/>
      <c r="D500" s="1275" t="s">
        <v>1260</v>
      </c>
      <c r="E500" s="1275"/>
      <c r="F500" s="1275"/>
    </row>
    <row r="501" spans="1:7">
      <c r="A501" s="175"/>
      <c r="B501" s="175"/>
      <c r="C501" s="175"/>
      <c r="D501" s="1275"/>
      <c r="E501" s="1275"/>
      <c r="F501" s="1275"/>
    </row>
    <row r="502" spans="1:7">
      <c r="A502" s="175"/>
      <c r="B502" s="175"/>
      <c r="C502" s="175"/>
      <c r="D502" s="1275"/>
      <c r="E502" s="1275"/>
      <c r="F502" s="1275"/>
    </row>
    <row r="503" spans="1:7">
      <c r="A503" s="175"/>
      <c r="B503" s="175"/>
      <c r="C503" s="175"/>
      <c r="D503" s="1275"/>
      <c r="E503" s="1275"/>
      <c r="F503" s="1275"/>
    </row>
    <row r="504" spans="1:7">
      <c r="A504" s="175"/>
      <c r="B504" s="175"/>
      <c r="C504" s="175"/>
      <c r="D504" s="1275"/>
      <c r="E504" s="1275"/>
      <c r="F504" s="1275"/>
    </row>
    <row r="505" spans="1:7">
      <c r="A505" s="175"/>
      <c r="B505" s="175"/>
      <c r="C505" s="175"/>
      <c r="D505" s="485"/>
      <c r="E505" s="485"/>
      <c r="F505" s="485"/>
    </row>
    <row r="506" spans="1:7" ht="14.45" customHeight="1">
      <c r="A506" s="176"/>
      <c r="B506" s="468" t="s">
        <v>308</v>
      </c>
      <c r="D506" s="1308" t="s">
        <v>1118</v>
      </c>
      <c r="E506" s="1308"/>
      <c r="F506" s="1308"/>
    </row>
    <row r="507" spans="1:7">
      <c r="D507" s="1308"/>
      <c r="E507" s="1308"/>
      <c r="F507" s="1308"/>
    </row>
    <row r="508" spans="1:7">
      <c r="D508" s="1308"/>
      <c r="E508" s="1308"/>
      <c r="F508" s="1308"/>
    </row>
    <row r="509" spans="1:7" ht="12" customHeight="1">
      <c r="A509" s="35"/>
      <c r="B509" s="35"/>
      <c r="C509" s="179"/>
      <c r="D509" s="35"/>
      <c r="F509" s="57"/>
    </row>
    <row r="510" spans="1:7">
      <c r="A510" s="1293" t="s">
        <v>1081</v>
      </c>
      <c r="B510" s="1293"/>
      <c r="C510" s="1293"/>
      <c r="D510" s="1293"/>
      <c r="E510" s="1293"/>
      <c r="F510" s="1293"/>
      <c r="G510" s="1293"/>
    </row>
    <row r="511" spans="1:7">
      <c r="A511" s="35"/>
      <c r="B511" s="35"/>
      <c r="C511" s="179"/>
      <c r="F511" s="57"/>
    </row>
    <row r="512" spans="1:7">
      <c r="B512" s="1290" t="s">
        <v>449</v>
      </c>
      <c r="C512" s="1290"/>
      <c r="D512" s="1290"/>
      <c r="E512" s="1290"/>
      <c r="F512" s="1290"/>
    </row>
    <row r="513" spans="1:7">
      <c r="A513" s="35"/>
      <c r="B513" s="35"/>
      <c r="C513" s="179"/>
      <c r="D513" s="35"/>
      <c r="F513" s="35"/>
    </row>
    <row r="514" spans="1:7">
      <c r="A514" s="1294" t="s">
        <v>1082</v>
      </c>
      <c r="B514" s="1294"/>
      <c r="C514" s="1294"/>
      <c r="D514" s="1294"/>
      <c r="E514" s="1294"/>
      <c r="F514" s="1294"/>
      <c r="G514" s="1294"/>
    </row>
    <row r="515" spans="1:7">
      <c r="A515" s="35"/>
      <c r="B515" s="35"/>
      <c r="C515" s="179"/>
      <c r="D515" s="35"/>
      <c r="F515" s="35"/>
    </row>
    <row r="516" spans="1:7">
      <c r="C516" s="179"/>
      <c r="D516" s="1291" t="s">
        <v>692</v>
      </c>
      <c r="E516" s="1291"/>
      <c r="F516" s="1291"/>
    </row>
    <row r="517" spans="1:7">
      <c r="C517" s="179"/>
      <c r="D517" s="1292" t="s">
        <v>1139</v>
      </c>
      <c r="E517" s="1292"/>
      <c r="F517" s="1292"/>
    </row>
    <row r="518" spans="1:7">
      <c r="C518" s="179"/>
      <c r="D518" s="118"/>
      <c r="E518" s="118"/>
      <c r="F518" s="118"/>
    </row>
    <row r="519" spans="1:7" ht="13.15" customHeight="1">
      <c r="A519" s="176"/>
      <c r="B519" s="468" t="s">
        <v>308</v>
      </c>
      <c r="C519" s="179"/>
      <c r="D519" s="1292" t="s">
        <v>897</v>
      </c>
      <c r="E519" s="1292"/>
      <c r="F519" s="1292"/>
      <c r="G519"/>
    </row>
    <row r="520" spans="1:7" ht="13.15" customHeight="1">
      <c r="A520" s="179"/>
      <c r="B520" s="179"/>
      <c r="C520" s="179"/>
      <c r="D520" s="118"/>
      <c r="E520"/>
      <c r="F520"/>
      <c r="G520"/>
    </row>
    <row r="521" spans="1:7" ht="14.25">
      <c r="A521" s="176"/>
      <c r="B521" s="468" t="s">
        <v>308</v>
      </c>
      <c r="C521" s="179"/>
      <c r="D521" s="1272" t="s">
        <v>1140</v>
      </c>
      <c r="E521" s="1272"/>
      <c r="F521" s="1272"/>
      <c r="G521"/>
    </row>
    <row r="522" spans="1:7">
      <c r="A522" s="179"/>
      <c r="B522" s="179"/>
      <c r="C522" s="179"/>
      <c r="D522" s="1272"/>
      <c r="E522" s="1272"/>
      <c r="F522" s="1272"/>
      <c r="G522"/>
    </row>
    <row r="523" spans="1:7">
      <c r="A523" s="179"/>
      <c r="B523" s="179"/>
      <c r="C523" s="179"/>
      <c r="D523" s="35"/>
      <c r="E523" s="35"/>
      <c r="F523" s="35"/>
      <c r="G523"/>
    </row>
    <row r="524" spans="1:7" ht="14.25">
      <c r="A524" s="176"/>
      <c r="B524" s="468" t="s">
        <v>308</v>
      </c>
      <c r="C524" s="179"/>
      <c r="D524" s="1272" t="s">
        <v>1141</v>
      </c>
      <c r="E524" s="1272"/>
      <c r="F524" s="1272"/>
      <c r="G524"/>
    </row>
    <row r="525" spans="1:7">
      <c r="A525" s="179"/>
      <c r="B525" s="179"/>
      <c r="C525" s="179"/>
      <c r="D525" s="1272"/>
      <c r="E525" s="1272"/>
      <c r="F525" s="1272"/>
      <c r="G525"/>
    </row>
    <row r="526" spans="1:7">
      <c r="A526" s="179"/>
      <c r="B526" s="179"/>
      <c r="C526" s="179"/>
      <c r="D526" s="35"/>
      <c r="E526" s="35"/>
      <c r="F526" s="35"/>
      <c r="G526"/>
    </row>
    <row r="527" spans="1:7" ht="14.25">
      <c r="A527" s="176"/>
      <c r="B527" s="468" t="s">
        <v>308</v>
      </c>
      <c r="C527" s="179"/>
      <c r="D527" s="1272" t="s">
        <v>1142</v>
      </c>
      <c r="E527" s="1272"/>
      <c r="F527" s="1272"/>
      <c r="G527"/>
    </row>
    <row r="528" spans="1:7">
      <c r="A528" s="179"/>
      <c r="B528" s="179"/>
      <c r="C528" s="179"/>
      <c r="D528" s="1272"/>
      <c r="E528" s="1272"/>
      <c r="F528" s="1272"/>
      <c r="G528"/>
    </row>
    <row r="529" spans="1:7">
      <c r="A529" s="179"/>
      <c r="B529" s="179"/>
      <c r="C529" s="179"/>
      <c r="D529" s="35"/>
      <c r="E529" s="35"/>
      <c r="F529" s="35"/>
      <c r="G529"/>
    </row>
    <row r="530" spans="1:7" ht="14.25">
      <c r="A530" s="176"/>
      <c r="B530" s="468" t="s">
        <v>308</v>
      </c>
      <c r="C530" s="179"/>
      <c r="D530" s="1272" t="s">
        <v>1143</v>
      </c>
      <c r="E530" s="1272"/>
      <c r="F530" s="1272"/>
      <c r="G530"/>
    </row>
    <row r="531" spans="1:7">
      <c r="A531" s="179"/>
      <c r="B531" s="179"/>
      <c r="C531" s="179"/>
      <c r="D531" s="1272"/>
      <c r="E531" s="1272"/>
      <c r="F531" s="1272"/>
      <c r="G531"/>
    </row>
    <row r="532" spans="1:7">
      <c r="A532" s="179"/>
      <c r="B532" s="179"/>
      <c r="C532" s="179"/>
      <c r="D532" s="1272"/>
      <c r="E532" s="1272"/>
      <c r="F532" s="1272"/>
      <c r="G532"/>
    </row>
    <row r="533" spans="1:7">
      <c r="A533" s="179"/>
      <c r="B533" s="179"/>
      <c r="C533" s="179"/>
      <c r="D533" s="35"/>
      <c r="E533" s="35"/>
      <c r="F533" s="35"/>
    </row>
    <row r="534" spans="1:7" ht="14.25">
      <c r="A534" s="176"/>
      <c r="B534" s="468" t="s">
        <v>308</v>
      </c>
      <c r="C534" s="179"/>
      <c r="D534" s="1272" t="s">
        <v>1261</v>
      </c>
      <c r="E534" s="1272"/>
      <c r="F534" s="1272"/>
    </row>
    <row r="535" spans="1:7">
      <c r="A535" s="179"/>
      <c r="B535" s="179"/>
      <c r="C535" s="179"/>
      <c r="D535" s="1272"/>
      <c r="E535" s="1272"/>
      <c r="F535" s="1272"/>
    </row>
    <row r="536" spans="1:7">
      <c r="A536" s="179"/>
      <c r="B536" s="179"/>
      <c r="C536" s="179"/>
      <c r="D536" s="35"/>
      <c r="E536" s="35"/>
      <c r="F536" s="35"/>
    </row>
    <row r="537" spans="1:7" ht="14.25">
      <c r="A537" s="176"/>
      <c r="B537" s="468" t="s">
        <v>308</v>
      </c>
      <c r="C537" s="179"/>
      <c r="D537" s="1272" t="s">
        <v>1144</v>
      </c>
      <c r="E537" s="1272"/>
      <c r="F537" s="1272"/>
    </row>
    <row r="538" spans="1:7">
      <c r="A538" s="179"/>
      <c r="B538" s="179"/>
      <c r="C538" s="179"/>
      <c r="D538" s="1272"/>
      <c r="E538" s="1272"/>
      <c r="F538" s="1272"/>
    </row>
    <row r="539" spans="1:7">
      <c r="A539" s="179"/>
      <c r="B539" s="179"/>
      <c r="C539" s="179"/>
      <c r="D539" s="35"/>
      <c r="E539" s="35"/>
      <c r="F539" s="35"/>
    </row>
    <row r="540" spans="1:7" ht="14.25">
      <c r="A540" s="176"/>
      <c r="B540" s="468" t="s">
        <v>308</v>
      </c>
      <c r="C540" s="179"/>
      <c r="D540" s="1272" t="s">
        <v>1145</v>
      </c>
      <c r="E540" s="1272"/>
      <c r="F540" s="1272"/>
    </row>
    <row r="541" spans="1:7">
      <c r="A541" s="179"/>
      <c r="B541" s="179"/>
      <c r="C541" s="179"/>
      <c r="D541" s="1272"/>
      <c r="E541" s="1272"/>
      <c r="F541" s="1272"/>
    </row>
    <row r="542" spans="1:7">
      <c r="A542" s="179"/>
      <c r="B542" s="179"/>
      <c r="C542" s="179"/>
      <c r="D542" s="35"/>
      <c r="E542" s="35"/>
      <c r="F542" s="35"/>
    </row>
    <row r="543" spans="1:7" ht="14.25">
      <c r="A543" s="176"/>
      <c r="B543" s="468" t="s">
        <v>308</v>
      </c>
      <c r="C543" s="179"/>
      <c r="D543" s="1292" t="s">
        <v>1146</v>
      </c>
      <c r="E543" s="1292"/>
      <c r="F543" s="1292"/>
    </row>
    <row r="544" spans="1:7">
      <c r="A544" s="13"/>
      <c r="B544" s="13"/>
      <c r="C544" s="179"/>
      <c r="D544" s="1292" t="s">
        <v>830</v>
      </c>
      <c r="E544" s="1292"/>
      <c r="F544" s="1292"/>
    </row>
    <row r="545" spans="1:7">
      <c r="A545" s="13"/>
      <c r="B545" s="13"/>
      <c r="C545" s="179"/>
      <c r="D545" s="3"/>
      <c r="E545" s="1297" t="s">
        <v>1147</v>
      </c>
      <c r="F545" s="1297"/>
    </row>
    <row r="546" spans="1:7" ht="14.25">
      <c r="A546" s="176"/>
      <c r="B546" s="176"/>
      <c r="C546" s="179"/>
      <c r="E546" s="35"/>
      <c r="F546" s="35"/>
    </row>
    <row r="547" spans="1:7" ht="14.25">
      <c r="A547" s="176"/>
      <c r="B547" s="468" t="s">
        <v>308</v>
      </c>
      <c r="C547" s="179"/>
      <c r="D547" s="1292" t="s">
        <v>1148</v>
      </c>
      <c r="E547" s="1292"/>
      <c r="F547" s="1292"/>
    </row>
    <row r="548" spans="1:7">
      <c r="C548" s="179"/>
      <c r="D548" s="1272" t="s">
        <v>1149</v>
      </c>
      <c r="E548" s="1272"/>
      <c r="F548" s="1272"/>
    </row>
    <row r="549" spans="1:7">
      <c r="A549" s="179"/>
      <c r="B549" s="179"/>
      <c r="C549" s="179"/>
      <c r="D549" s="1272"/>
      <c r="E549" s="1272"/>
      <c r="F549" s="1272"/>
    </row>
    <row r="550" spans="1:7">
      <c r="A550" s="179"/>
      <c r="B550" s="179"/>
      <c r="C550" s="179"/>
      <c r="D550" s="1272"/>
      <c r="E550" s="1272"/>
      <c r="F550" s="1272"/>
    </row>
    <row r="551" spans="1:7">
      <c r="A551" s="179"/>
      <c r="B551" s="179"/>
      <c r="C551" s="179"/>
      <c r="D551" s="35"/>
      <c r="E551" s="35"/>
      <c r="F551" s="35"/>
    </row>
    <row r="552" spans="1:7" ht="14.25">
      <c r="A552" s="176"/>
      <c r="B552" s="468" t="s">
        <v>308</v>
      </c>
      <c r="C552" s="179"/>
      <c r="D552" s="1272" t="s">
        <v>1150</v>
      </c>
      <c r="E552" s="1272"/>
      <c r="F552" s="1272"/>
    </row>
    <row r="553" spans="1:7" ht="14.25">
      <c r="A553" s="176"/>
      <c r="B553" s="176"/>
      <c r="C553" s="179"/>
      <c r="D553" s="1272"/>
      <c r="E553" s="1272"/>
      <c r="F553" s="1272"/>
    </row>
    <row r="554" spans="1:7" ht="14.25">
      <c r="A554" s="176"/>
      <c r="B554" s="176"/>
      <c r="C554" s="179"/>
      <c r="D554" s="1272"/>
      <c r="E554" s="1272"/>
      <c r="F554" s="1272"/>
    </row>
    <row r="555" spans="1:7" ht="14.25">
      <c r="A555" s="176"/>
      <c r="B555" s="176"/>
      <c r="C555" s="179"/>
      <c r="D555" s="1272"/>
      <c r="E555" s="1272"/>
      <c r="F555" s="1272"/>
    </row>
    <row r="556" spans="1:7" ht="14.25">
      <c r="A556" s="176"/>
      <c r="B556" s="176"/>
      <c r="C556" s="179"/>
      <c r="D556" s="35"/>
      <c r="E556" s="35"/>
      <c r="F556" s="35"/>
    </row>
    <row r="557" spans="1:7">
      <c r="A557" s="1293" t="s">
        <v>1083</v>
      </c>
      <c r="B557" s="1293"/>
      <c r="C557" s="1293"/>
      <c r="D557" s="1293"/>
      <c r="E557" s="1293"/>
      <c r="F557" s="1293"/>
      <c r="G557" s="1293"/>
    </row>
    <row r="558" spans="1:7">
      <c r="A558" s="179"/>
      <c r="B558" s="179"/>
      <c r="C558" s="179"/>
      <c r="E558" s="35"/>
      <c r="F558" s="35"/>
    </row>
    <row r="559" spans="1:7" ht="12.75" customHeight="1">
      <c r="C559" s="172"/>
      <c r="D559" s="1304" t="s">
        <v>211</v>
      </c>
      <c r="E559" s="1304"/>
      <c r="F559" s="1304"/>
    </row>
    <row r="560" spans="1:7">
      <c r="A560" s="175"/>
      <c r="B560" s="175"/>
      <c r="C560" s="175"/>
      <c r="D560" s="1309" t="s">
        <v>1099</v>
      </c>
      <c r="E560" s="1309"/>
      <c r="F560" s="1309"/>
    </row>
    <row r="561" spans="1:6">
      <c r="A561"/>
      <c r="B561"/>
      <c r="C561" s="175"/>
      <c r="D561" s="255"/>
    </row>
    <row r="562" spans="1:6">
      <c r="A562" s="175"/>
      <c r="B562" s="468" t="s">
        <v>308</v>
      </c>
      <c r="D562" s="1309" t="s">
        <v>903</v>
      </c>
      <c r="E562" s="1309"/>
      <c r="F562" s="1309"/>
    </row>
    <row r="563" spans="1:6">
      <c r="A563" s="13"/>
      <c r="B563" s="13"/>
      <c r="D563" s="218"/>
    </row>
    <row r="564" spans="1:6">
      <c r="A564" s="13"/>
      <c r="B564" s="468" t="s">
        <v>308</v>
      </c>
      <c r="D564" s="1309" t="s">
        <v>1100</v>
      </c>
      <c r="E564" s="1309"/>
      <c r="F564" s="1309"/>
    </row>
    <row r="565" spans="1:6">
      <c r="A565" s="13"/>
      <c r="B565" s="13"/>
      <c r="D565" s="1309"/>
      <c r="E565" s="1309"/>
      <c r="F565" s="1309"/>
    </row>
    <row r="566" spans="1:6">
      <c r="A566" s="13"/>
      <c r="B566" s="13"/>
      <c r="D566" s="1309"/>
      <c r="E566" s="1309"/>
      <c r="F566" s="1309"/>
    </row>
    <row r="567" spans="1:6">
      <c r="A567" s="13"/>
      <c r="B567" s="13"/>
      <c r="D567" s="255"/>
    </row>
    <row r="568" spans="1:6">
      <c r="A568" s="13"/>
      <c r="B568" s="468" t="s">
        <v>308</v>
      </c>
      <c r="D568" s="1309" t="s">
        <v>1101</v>
      </c>
      <c r="E568" s="1309"/>
      <c r="F568" s="1309"/>
    </row>
    <row r="569" spans="1:6">
      <c r="A569" s="13"/>
      <c r="B569" s="13"/>
      <c r="D569" s="1309"/>
      <c r="E569" s="1309"/>
      <c r="F569" s="1309"/>
    </row>
    <row r="570" spans="1:6">
      <c r="A570" s="13"/>
      <c r="B570" s="13"/>
      <c r="D570" s="1309"/>
      <c r="E570" s="1309"/>
      <c r="F570" s="1309"/>
    </row>
    <row r="571" spans="1:6">
      <c r="A571" s="13"/>
      <c r="B571" s="13"/>
      <c r="D571" s="1309"/>
      <c r="E571" s="1309"/>
      <c r="F571" s="1309"/>
    </row>
    <row r="572" spans="1:6">
      <c r="A572" s="13"/>
      <c r="B572" s="13"/>
      <c r="D572" s="473"/>
      <c r="E572" s="473"/>
      <c r="F572" s="473"/>
    </row>
    <row r="573" spans="1:6">
      <c r="A573" s="13"/>
      <c r="B573" s="468" t="s">
        <v>308</v>
      </c>
      <c r="D573" s="1309" t="s">
        <v>1102</v>
      </c>
      <c r="E573" s="1309"/>
      <c r="F573" s="1309"/>
    </row>
    <row r="574" spans="1:6">
      <c r="A574" s="13"/>
      <c r="B574" s="13"/>
      <c r="D574" s="1309"/>
      <c r="E574" s="1309"/>
      <c r="F574" s="1309"/>
    </row>
    <row r="575" spans="1:6">
      <c r="A575" s="13"/>
      <c r="B575" s="13"/>
      <c r="D575" s="255"/>
    </row>
    <row r="576" spans="1:6">
      <c r="A576" s="13"/>
      <c r="B576" s="468" t="s">
        <v>308</v>
      </c>
      <c r="D576" s="1309" t="s">
        <v>1103</v>
      </c>
      <c r="E576" s="1309"/>
      <c r="F576" s="1309"/>
    </row>
    <row r="577" spans="1:7">
      <c r="A577" s="13"/>
      <c r="B577" s="13"/>
      <c r="D577" s="1309"/>
      <c r="E577" s="1309"/>
      <c r="F577" s="1309"/>
    </row>
    <row r="578" spans="1:7">
      <c r="A578" s="13"/>
      <c r="B578" s="13"/>
      <c r="D578" s="255"/>
    </row>
    <row r="579" spans="1:7" ht="14.25">
      <c r="A579" s="176"/>
      <c r="B579" s="468" t="s">
        <v>308</v>
      </c>
      <c r="D579" s="1309" t="s">
        <v>898</v>
      </c>
      <c r="E579" s="1309"/>
      <c r="F579" s="1309"/>
    </row>
    <row r="580" spans="1:7" ht="14.25">
      <c r="A580" s="176"/>
      <c r="B580" s="176"/>
      <c r="D580" s="255"/>
    </row>
    <row r="581" spans="1:7" ht="14.25">
      <c r="A581" s="176"/>
      <c r="B581" s="468" t="s">
        <v>308</v>
      </c>
      <c r="D581" s="1309" t="s">
        <v>1104</v>
      </c>
      <c r="E581" s="1309"/>
      <c r="F581" s="1309"/>
    </row>
    <row r="582" spans="1:7" ht="14.25">
      <c r="A582" s="176"/>
      <c r="B582" s="176"/>
      <c r="D582" s="1309"/>
      <c r="E582" s="1309"/>
      <c r="F582" s="1309"/>
    </row>
    <row r="583" spans="1:7">
      <c r="D583" s="1309"/>
      <c r="E583" s="1309"/>
      <c r="F583" s="1309"/>
    </row>
    <row r="584" spans="1:7">
      <c r="D584" s="1309"/>
      <c r="E584" s="1309"/>
      <c r="F584" s="1309"/>
    </row>
    <row r="585" spans="1:7">
      <c r="D585" s="1309"/>
      <c r="E585" s="1309"/>
      <c r="F585" s="1309"/>
    </row>
    <row r="586" spans="1:7">
      <c r="D586" s="1309"/>
      <c r="E586" s="1309"/>
      <c r="F586" s="1309"/>
    </row>
    <row r="587" spans="1:7"/>
    <row r="588" spans="1:7">
      <c r="A588" s="1293" t="s">
        <v>1084</v>
      </c>
      <c r="B588" s="1293"/>
      <c r="C588" s="1293"/>
      <c r="D588" s="1293"/>
      <c r="E588" s="1293"/>
      <c r="F588" s="1293"/>
      <c r="G588" s="1293"/>
    </row>
    <row r="589" spans="1:7"/>
    <row r="590" spans="1:7">
      <c r="D590" s="1285" t="s">
        <v>1184</v>
      </c>
      <c r="E590" s="1285"/>
      <c r="F590" s="1285"/>
    </row>
    <row r="591" spans="1:7">
      <c r="D591" s="1286" t="s">
        <v>1185</v>
      </c>
      <c r="E591" s="1286"/>
      <c r="F591" s="1286"/>
    </row>
    <row r="592" spans="1:7">
      <c r="D592" s="478"/>
      <c r="E592" s="433"/>
      <c r="F592" s="433"/>
    </row>
    <row r="593" spans="1:7" ht="14.25">
      <c r="A593" s="176"/>
      <c r="B593" s="468" t="s">
        <v>308</v>
      </c>
      <c r="D593" s="1287" t="s">
        <v>1186</v>
      </c>
      <c r="E593" s="1287"/>
      <c r="F593" s="1287"/>
    </row>
    <row r="594" spans="1:7">
      <c r="D594" s="1287"/>
      <c r="E594" s="1287"/>
      <c r="F594" s="1287"/>
    </row>
    <row r="595" spans="1:7">
      <c r="D595" s="1287"/>
      <c r="E595" s="1287"/>
      <c r="F595" s="1287"/>
    </row>
    <row r="596" spans="1:7"/>
    <row r="597" spans="1:7">
      <c r="A597" s="1293" t="s">
        <v>1085</v>
      </c>
      <c r="B597" s="1293"/>
      <c r="C597" s="1293"/>
      <c r="D597" s="1293"/>
      <c r="E597" s="1293"/>
      <c r="F597" s="1293"/>
      <c r="G597" s="1293"/>
    </row>
    <row r="598" spans="1:7">
      <c r="A598" s="35"/>
      <c r="B598" s="35"/>
    </row>
    <row r="599" spans="1:7">
      <c r="A599" s="172"/>
      <c r="B599" s="172"/>
      <c r="C599" s="172"/>
      <c r="D599" s="1288" t="s">
        <v>1187</v>
      </c>
      <c r="E599" s="1288"/>
      <c r="F599" s="1288"/>
    </row>
    <row r="600" spans="1:7">
      <c r="A600" s="172"/>
      <c r="B600" s="172"/>
      <c r="C600" s="172"/>
      <c r="D600" s="1288"/>
      <c r="E600" s="1288"/>
      <c r="F600" s="1288"/>
    </row>
    <row r="601" spans="1:7">
      <c r="C601" s="175"/>
      <c r="D601" s="1286" t="s">
        <v>1188</v>
      </c>
      <c r="E601" s="1286"/>
      <c r="F601" s="1286"/>
    </row>
    <row r="602" spans="1:7">
      <c r="C602" s="175"/>
      <c r="D602" s="478"/>
      <c r="E602" s="478"/>
      <c r="F602" s="478"/>
    </row>
    <row r="603" spans="1:7">
      <c r="A603" s="13"/>
      <c r="B603" s="468" t="s">
        <v>308</v>
      </c>
      <c r="D603" s="1286" t="s">
        <v>433</v>
      </c>
      <c r="E603" s="1286"/>
      <c r="F603" s="1286"/>
    </row>
    <row r="604" spans="1:7">
      <c r="C604" s="180"/>
      <c r="E604"/>
    </row>
    <row r="605" spans="1:7">
      <c r="A605" s="13"/>
      <c r="B605" s="468" t="s">
        <v>308</v>
      </c>
      <c r="D605" s="1289" t="s">
        <v>1189</v>
      </c>
      <c r="E605" s="1289"/>
      <c r="F605" s="1289"/>
    </row>
    <row r="606" spans="1:7">
      <c r="D606" s="1289"/>
      <c r="E606" s="1289"/>
      <c r="F606" s="1289"/>
    </row>
    <row r="607" spans="1:7">
      <c r="D607"/>
    </row>
    <row r="608" spans="1:7">
      <c r="B608" s="468" t="s">
        <v>308</v>
      </c>
      <c r="D608" s="1289" t="s">
        <v>1190</v>
      </c>
      <c r="E608" s="1289"/>
      <c r="F608" s="1289"/>
    </row>
    <row r="609" spans="1:7">
      <c r="C609" s="180"/>
      <c r="D609" s="1289"/>
      <c r="E609" s="1289"/>
      <c r="F609" s="1289"/>
    </row>
    <row r="610" spans="1:7">
      <c r="C610" s="180"/>
    </row>
    <row r="611" spans="1:7">
      <c r="B611" s="468" t="s">
        <v>308</v>
      </c>
      <c r="C611" s="180"/>
      <c r="D611" s="1289" t="s">
        <v>1191</v>
      </c>
      <c r="E611" s="1289"/>
      <c r="F611" s="1289"/>
    </row>
    <row r="612" spans="1:7">
      <c r="C612" s="180"/>
      <c r="D612" s="1289"/>
      <c r="E612" s="1289"/>
      <c r="F612" s="1289"/>
    </row>
    <row r="613" spans="1:7">
      <c r="C613" s="180"/>
    </row>
    <row r="614" spans="1:7">
      <c r="A614" s="1293" t="s">
        <v>1086</v>
      </c>
      <c r="B614" s="1293"/>
      <c r="C614" s="1293"/>
      <c r="D614" s="1293"/>
      <c r="E614" s="1293"/>
      <c r="F614" s="1293"/>
      <c r="G614" s="1293"/>
    </row>
    <row r="615" spans="1:7">
      <c r="A615" s="172"/>
      <c r="B615" s="172"/>
      <c r="C615" s="172"/>
    </row>
    <row r="616" spans="1:7">
      <c r="C616" s="13"/>
      <c r="D616" s="1285" t="s">
        <v>1192</v>
      </c>
      <c r="E616" s="1285"/>
      <c r="F616" s="1285"/>
    </row>
    <row r="617" spans="1:7">
      <c r="A617" s="13"/>
      <c r="B617" s="13"/>
      <c r="D617" s="2"/>
    </row>
    <row r="618" spans="1:7" ht="14.25">
      <c r="A618" s="176"/>
      <c r="B618" s="468" t="s">
        <v>308</v>
      </c>
      <c r="D618" s="1287" t="s">
        <v>1193</v>
      </c>
      <c r="E618" s="1287"/>
      <c r="F618" s="1287"/>
    </row>
    <row r="619" spans="1:7">
      <c r="D619" s="1287"/>
      <c r="E619" s="1287"/>
      <c r="F619" s="1287"/>
    </row>
    <row r="620" spans="1:7">
      <c r="D620" s="1287"/>
      <c r="E620" s="1287"/>
      <c r="F620" s="1287"/>
    </row>
    <row r="621" spans="1:7">
      <c r="D621" s="1287"/>
      <c r="E621" s="1287"/>
      <c r="F621" s="1287"/>
    </row>
    <row r="622" spans="1:7">
      <c r="D622" s="1287"/>
      <c r="E622" s="1287"/>
      <c r="F622" s="1287"/>
    </row>
    <row r="623" spans="1:7">
      <c r="D623" s="1287"/>
      <c r="E623" s="1287"/>
      <c r="F623" s="1287"/>
    </row>
    <row r="624" spans="1:7">
      <c r="D624" s="479"/>
      <c r="E624" s="479"/>
      <c r="F624" s="479"/>
    </row>
    <row r="625" spans="1:7" ht="14.25">
      <c r="A625" s="176"/>
      <c r="B625" s="468" t="s">
        <v>308</v>
      </c>
      <c r="D625" s="1287" t="s">
        <v>1194</v>
      </c>
      <c r="E625" s="1287"/>
      <c r="F625" s="1287"/>
    </row>
    <row r="626" spans="1:7">
      <c r="A626" s="179"/>
      <c r="B626" s="179"/>
      <c r="C626" s="179"/>
      <c r="D626" s="1287"/>
      <c r="E626" s="1287"/>
      <c r="F626" s="1287"/>
    </row>
    <row r="627" spans="1:7">
      <c r="A627" s="179"/>
      <c r="B627" s="179"/>
      <c r="C627" s="179"/>
      <c r="D627" s="35"/>
      <c r="E627" s="35"/>
      <c r="F627" s="35"/>
    </row>
    <row r="628" spans="1:7" ht="14.25">
      <c r="A628" s="176"/>
      <c r="B628" s="468" t="s">
        <v>308</v>
      </c>
      <c r="C628" s="179"/>
      <c r="D628" s="1287" t="s">
        <v>1195</v>
      </c>
      <c r="E628" s="1287"/>
      <c r="F628" s="1287"/>
    </row>
    <row r="629" spans="1:7" ht="14.25">
      <c r="A629" s="176"/>
      <c r="B629" s="176"/>
      <c r="C629" s="179"/>
      <c r="D629" s="1287"/>
      <c r="E629" s="1287"/>
      <c r="F629" s="1287"/>
    </row>
    <row r="630" spans="1:7" ht="14.25">
      <c r="A630" s="176"/>
      <c r="B630" s="176"/>
      <c r="C630" s="179"/>
      <c r="D630" s="1287"/>
      <c r="E630" s="1287"/>
      <c r="F630" s="1287"/>
    </row>
    <row r="631" spans="1:7">
      <c r="A631" s="179"/>
      <c r="B631" s="179"/>
      <c r="C631" s="179"/>
      <c r="D631" s="1287"/>
      <c r="E631" s="1287"/>
      <c r="F631" s="1287"/>
    </row>
    <row r="632" spans="1:7">
      <c r="A632" s="179"/>
      <c r="B632" s="179"/>
      <c r="C632" s="179"/>
      <c r="D632" s="479"/>
      <c r="E632" s="479"/>
      <c r="F632" s="479"/>
    </row>
    <row r="633" spans="1:7">
      <c r="A633" s="179"/>
      <c r="B633" s="468" t="s">
        <v>308</v>
      </c>
      <c r="C633" s="179"/>
      <c r="D633" s="1316" t="s">
        <v>1196</v>
      </c>
      <c r="E633" s="1316"/>
      <c r="F633" s="1316"/>
    </row>
    <row r="634" spans="1:7">
      <c r="A634" s="179"/>
      <c r="B634" s="179"/>
      <c r="C634" s="179"/>
      <c r="D634" s="480"/>
      <c r="E634" s="480"/>
      <c r="F634" s="480"/>
    </row>
    <row r="635" spans="1:7">
      <c r="A635" s="1293" t="s">
        <v>1087</v>
      </c>
      <c r="B635" s="1293"/>
      <c r="C635" s="1293"/>
      <c r="D635" s="1293"/>
      <c r="E635" s="1293"/>
      <c r="F635" s="1293"/>
      <c r="G635" s="1293"/>
    </row>
    <row r="636" spans="1:7">
      <c r="A636" s="35"/>
      <c r="B636" s="35"/>
      <c r="C636" s="179"/>
      <c r="D636" s="35"/>
      <c r="E636" s="35"/>
      <c r="F636" s="35"/>
    </row>
    <row r="637" spans="1:7">
      <c r="C637" s="172"/>
      <c r="D637" s="1291" t="s">
        <v>1246</v>
      </c>
      <c r="E637" s="1291"/>
      <c r="F637" s="1291"/>
    </row>
    <row r="638" spans="1:7">
      <c r="A638" s="175"/>
      <c r="B638" s="175"/>
      <c r="C638" s="175"/>
      <c r="D638" s="1292" t="s">
        <v>1247</v>
      </c>
      <c r="E638" s="1292"/>
      <c r="F638" s="1292"/>
    </row>
    <row r="639" spans="1:7">
      <c r="A639" s="175"/>
      <c r="B639" s="175"/>
      <c r="C639" s="175"/>
      <c r="D639" s="118"/>
      <c r="E639" s="118"/>
      <c r="F639" s="118"/>
    </row>
    <row r="640" spans="1:7" ht="14.45" customHeight="1">
      <c r="A640" s="176"/>
      <c r="B640" s="468" t="s">
        <v>308</v>
      </c>
      <c r="C640" s="179"/>
      <c r="D640" s="1272" t="s">
        <v>1248</v>
      </c>
      <c r="E640" s="1272"/>
      <c r="F640" s="1272"/>
    </row>
    <row r="641" spans="1:11" ht="14.25">
      <c r="A641" s="176"/>
      <c r="B641" s="176"/>
      <c r="C641" s="179"/>
      <c r="D641" s="1272"/>
      <c r="E641" s="1272"/>
      <c r="F641" s="1272"/>
    </row>
    <row r="642" spans="1:11" ht="14.25">
      <c r="A642" s="176"/>
      <c r="B642" s="176"/>
      <c r="C642" s="179"/>
      <c r="D642" s="1272"/>
      <c r="E642" s="1272"/>
      <c r="F642" s="1272"/>
    </row>
    <row r="643" spans="1:11" ht="14.25">
      <c r="A643" s="176"/>
      <c r="B643" s="176"/>
      <c r="C643" s="179"/>
      <c r="D643" s="1272"/>
      <c r="E643" s="1272"/>
      <c r="F643" s="1272"/>
    </row>
    <row r="644" spans="1:11" ht="14.25">
      <c r="A644" s="176"/>
      <c r="B644" s="176"/>
      <c r="C644" s="179"/>
      <c r="D644" s="1272"/>
      <c r="E644" s="1272"/>
      <c r="F644" s="1272"/>
    </row>
    <row r="645" spans="1:11" ht="14.25">
      <c r="A645" s="176"/>
      <c r="B645" s="176"/>
      <c r="C645" s="179"/>
      <c r="D645" s="474"/>
      <c r="E645" s="474"/>
      <c r="F645" s="474"/>
    </row>
    <row r="646" spans="1:11" ht="14.25">
      <c r="A646" s="176"/>
      <c r="B646" s="468" t="s">
        <v>308</v>
      </c>
      <c r="C646" s="179"/>
      <c r="D646" s="1306" t="s">
        <v>1098</v>
      </c>
      <c r="E646" s="1306"/>
      <c r="F646" s="1306"/>
    </row>
    <row r="647" spans="1:11" ht="14.25">
      <c r="A647" s="176"/>
      <c r="B647" s="176"/>
      <c r="C647" s="179"/>
      <c r="D647" s="1305" t="s">
        <v>1249</v>
      </c>
      <c r="E647" s="1305"/>
      <c r="F647" s="1305"/>
    </row>
    <row r="648" spans="1:11" ht="14.25">
      <c r="A648" s="176"/>
      <c r="B648" s="176"/>
      <c r="C648" s="179"/>
      <c r="D648" s="1305"/>
      <c r="E648" s="1305"/>
      <c r="F648" s="1305"/>
    </row>
    <row r="649" spans="1:11" ht="14.25">
      <c r="A649" s="176"/>
      <c r="B649" s="176"/>
      <c r="C649" s="179"/>
      <c r="D649" s="1305"/>
      <c r="E649" s="1305"/>
      <c r="F649" s="1305"/>
    </row>
    <row r="650" spans="1:11" ht="14.25">
      <c r="A650" s="176"/>
      <c r="B650" s="176"/>
      <c r="C650" s="179"/>
      <c r="D650" s="1305"/>
      <c r="E650" s="1305"/>
      <c r="F650" s="1305"/>
    </row>
    <row r="651" spans="1:11" ht="14.25">
      <c r="A651" s="176"/>
      <c r="B651" s="176"/>
      <c r="C651" s="179"/>
      <c r="D651" s="1305"/>
      <c r="E651" s="1305"/>
      <c r="F651" s="1305"/>
    </row>
    <row r="652" spans="1:11" ht="14.25">
      <c r="A652" s="176"/>
      <c r="B652" s="176"/>
      <c r="C652" s="179"/>
      <c r="D652" s="1307" t="s">
        <v>1250</v>
      </c>
      <c r="E652" s="1307"/>
      <c r="F652" s="1307"/>
    </row>
    <row r="653" spans="1:11">
      <c r="A653" s="179"/>
      <c r="B653" s="179"/>
      <c r="C653" s="179"/>
      <c r="D653" s="35"/>
      <c r="E653" s="35"/>
      <c r="F653" s="35"/>
    </row>
    <row r="654" spans="1:11">
      <c r="A654" s="1293" t="s">
        <v>1088</v>
      </c>
      <c r="B654" s="1293"/>
      <c r="C654" s="1293"/>
      <c r="D654" s="1293"/>
      <c r="E654" s="1293"/>
      <c r="F654" s="1293"/>
      <c r="G654" s="1293"/>
      <c r="H654" s="181"/>
      <c r="I654" s="181"/>
      <c r="J654" s="181"/>
      <c r="K654" s="181"/>
    </row>
    <row r="655" spans="1:11">
      <c r="A655" s="482"/>
      <c r="B655" s="482"/>
      <c r="C655" s="482"/>
      <c r="D655" s="482"/>
      <c r="E655" s="482"/>
      <c r="F655" s="482"/>
      <c r="G655" s="482"/>
      <c r="H655" s="181"/>
      <c r="I655" s="181"/>
      <c r="J655" s="181"/>
      <c r="K655" s="181"/>
    </row>
    <row r="656" spans="1:11">
      <c r="C656" s="172"/>
      <c r="D656" s="1291" t="s">
        <v>99</v>
      </c>
      <c r="E656" s="1291"/>
      <c r="F656" s="1291"/>
      <c r="H656" s="181"/>
      <c r="I656" s="181"/>
      <c r="J656" s="181"/>
      <c r="K656" s="181"/>
    </row>
    <row r="657" spans="1:11">
      <c r="A657" s="172"/>
      <c r="B657" s="172"/>
      <c r="C657" s="172"/>
      <c r="D657" s="1291" t="s">
        <v>123</v>
      </c>
      <c r="E657" s="1291"/>
      <c r="F657" s="1291"/>
      <c r="H657" s="181"/>
      <c r="I657" s="181"/>
      <c r="J657" s="181"/>
      <c r="K657" s="181"/>
    </row>
    <row r="658" spans="1:11">
      <c r="A658" s="175"/>
      <c r="B658" s="175"/>
      <c r="C658" s="175"/>
      <c r="D658" s="1292" t="s">
        <v>1124</v>
      </c>
      <c r="E658" s="1292"/>
      <c r="F658" s="1292"/>
      <c r="H658" s="181"/>
      <c r="I658" s="181"/>
      <c r="J658" s="181"/>
      <c r="K658" s="181"/>
    </row>
    <row r="659" spans="1:11">
      <c r="A659" s="175"/>
      <c r="B659" s="175"/>
      <c r="C659" s="175"/>
      <c r="H659" s="181"/>
      <c r="I659" s="181"/>
      <c r="J659" s="181"/>
      <c r="K659" s="181"/>
    </row>
    <row r="660" spans="1:11" ht="14.25">
      <c r="A660" s="176"/>
      <c r="B660" s="468" t="s">
        <v>308</v>
      </c>
      <c r="C660" s="175"/>
      <c r="D660" s="1292" t="s">
        <v>899</v>
      </c>
      <c r="E660" s="1292"/>
      <c r="F660" s="1292"/>
      <c r="H660" s="181"/>
      <c r="I660" s="181"/>
      <c r="J660" s="181"/>
      <c r="K660" s="181"/>
    </row>
    <row r="661" spans="1:11">
      <c r="A661" s="175"/>
      <c r="B661" s="175"/>
      <c r="C661" s="175"/>
      <c r="D661" s="1292" t="s">
        <v>909</v>
      </c>
      <c r="E661" s="1292"/>
      <c r="F661" s="1292"/>
      <c r="H661" s="181"/>
      <c r="I661" s="181"/>
      <c r="J661" s="181"/>
      <c r="K661" s="181"/>
    </row>
    <row r="662" spans="1:11">
      <c r="A662" s="175"/>
      <c r="B662" s="175"/>
      <c r="C662" s="175"/>
      <c r="D662" s="3"/>
      <c r="E662" s="1276" t="s">
        <v>1125</v>
      </c>
      <c r="F662" s="1276"/>
      <c r="H662" s="181"/>
      <c r="I662" s="181"/>
      <c r="J662" s="181"/>
      <c r="K662" s="181"/>
    </row>
    <row r="663" spans="1:11">
      <c r="A663" s="175"/>
      <c r="B663" s="175"/>
      <c r="C663" s="175"/>
      <c r="D663" s="3"/>
      <c r="E663" s="1276"/>
      <c r="F663" s="1276"/>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72" t="s">
        <v>1126</v>
      </c>
      <c r="E665" s="1272"/>
      <c r="F665" s="1272"/>
      <c r="H665" s="181"/>
      <c r="I665" s="181"/>
      <c r="J665" s="181"/>
      <c r="K665" s="181"/>
    </row>
    <row r="666" spans="1:11">
      <c r="A666" s="13"/>
      <c r="B666" s="13"/>
      <c r="C666" s="175"/>
      <c r="D666" s="1272"/>
      <c r="E666" s="1272"/>
      <c r="F666" s="1272"/>
      <c r="H666" s="181"/>
      <c r="I666" s="181"/>
      <c r="J666" s="181"/>
      <c r="K666" s="181"/>
    </row>
    <row r="667" spans="1:11">
      <c r="A667" s="175"/>
      <c r="B667" s="175"/>
      <c r="C667" s="175"/>
      <c r="D667" s="1272"/>
      <c r="E667" s="1272"/>
      <c r="F667" s="1272"/>
      <c r="H667" s="181"/>
      <c r="I667" s="181"/>
      <c r="J667" s="181"/>
      <c r="K667" s="181"/>
    </row>
    <row r="668" spans="1:11">
      <c r="A668" s="175"/>
      <c r="B668" s="175"/>
      <c r="C668" s="175"/>
      <c r="H668" s="181"/>
      <c r="I668" s="181"/>
      <c r="J668" s="181"/>
      <c r="K668" s="181"/>
    </row>
    <row r="669" spans="1:11" ht="14.25">
      <c r="A669" s="176"/>
      <c r="B669" s="468" t="s">
        <v>308</v>
      </c>
      <c r="C669" s="175"/>
      <c r="D669" s="1292" t="s">
        <v>937</v>
      </c>
      <c r="E669" s="1292"/>
      <c r="F669" s="1292"/>
      <c r="H669" s="181"/>
      <c r="I669" s="181"/>
      <c r="J669" s="181"/>
      <c r="K669" s="181"/>
    </row>
    <row r="670" spans="1:11" ht="14.25">
      <c r="A670" s="176"/>
      <c r="B670" s="176"/>
      <c r="C670" s="175"/>
      <c r="D670" s="1292" t="s">
        <v>909</v>
      </c>
      <c r="E670" s="1292"/>
      <c r="F670" s="1292"/>
      <c r="H670" s="181"/>
      <c r="I670" s="181"/>
      <c r="J670" s="181"/>
      <c r="K670" s="181"/>
    </row>
    <row r="671" spans="1:11">
      <c r="A671" s="175"/>
      <c r="B671" s="175"/>
      <c r="C671" s="175"/>
      <c r="D671" s="3"/>
      <c r="E671" s="1297" t="s">
        <v>1127</v>
      </c>
      <c r="F671" s="1297"/>
      <c r="H671" s="181"/>
      <c r="I671" s="181"/>
      <c r="J671" s="181"/>
      <c r="K671" s="181"/>
    </row>
    <row r="672" spans="1:11">
      <c r="A672" s="175"/>
      <c r="B672" s="175"/>
      <c r="C672" s="175"/>
      <c r="D672" s="2"/>
      <c r="H672" s="181"/>
      <c r="I672" s="181"/>
      <c r="J672" s="181"/>
      <c r="K672" s="181"/>
    </row>
    <row r="673" spans="1:11" ht="14.25">
      <c r="A673" s="176"/>
      <c r="B673" s="468" t="s">
        <v>308</v>
      </c>
      <c r="C673" s="175"/>
      <c r="D673" s="1272" t="s">
        <v>1137</v>
      </c>
      <c r="E673" s="1272"/>
      <c r="F673" s="1272"/>
      <c r="H673" s="181"/>
      <c r="I673" s="181"/>
      <c r="J673" s="181"/>
      <c r="K673" s="181"/>
    </row>
    <row r="674" spans="1:11">
      <c r="A674" s="175"/>
      <c r="B674" s="175"/>
      <c r="C674" s="175"/>
      <c r="D674" s="1272"/>
      <c r="E674" s="1272"/>
      <c r="F674" s="1272"/>
      <c r="H674" s="181"/>
      <c r="I674" s="181"/>
      <c r="J674" s="181"/>
      <c r="K674" s="181"/>
    </row>
    <row r="675" spans="1:11">
      <c r="A675" s="175"/>
      <c r="B675" s="175"/>
      <c r="C675" s="175"/>
      <c r="D675" s="1272"/>
      <c r="E675" s="1272"/>
      <c r="F675" s="1272"/>
      <c r="H675" s="181"/>
      <c r="I675" s="181"/>
      <c r="J675" s="181"/>
      <c r="K675" s="181"/>
    </row>
    <row r="676" spans="1:11">
      <c r="A676" s="175"/>
      <c r="B676" s="175"/>
      <c r="C676" s="175"/>
      <c r="D676" s="1272"/>
      <c r="E676" s="1272"/>
      <c r="F676" s="1272"/>
      <c r="H676" s="181"/>
      <c r="I676" s="181"/>
      <c r="J676" s="181"/>
      <c r="K676" s="181"/>
    </row>
    <row r="677" spans="1:11">
      <c r="A677" s="175"/>
      <c r="B677" s="175"/>
      <c r="C677" s="175"/>
      <c r="D677" s="1272"/>
      <c r="E677" s="1272"/>
      <c r="F677" s="1272"/>
      <c r="H677" s="181"/>
      <c r="I677" s="181"/>
      <c r="J677" s="181"/>
      <c r="K677" s="181"/>
    </row>
    <row r="678" spans="1:11">
      <c r="A678" s="175"/>
      <c r="B678" s="175"/>
      <c r="C678" s="175"/>
      <c r="D678" s="1272"/>
      <c r="E678" s="1272"/>
      <c r="F678" s="1272"/>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72" t="s">
        <v>1128</v>
      </c>
      <c r="E680" s="1272"/>
      <c r="F680" s="1272"/>
      <c r="H680" s="181"/>
      <c r="I680" s="181"/>
      <c r="J680" s="181"/>
      <c r="K680" s="181"/>
    </row>
    <row r="681" spans="1:11">
      <c r="A681" s="175"/>
      <c r="B681" s="175"/>
      <c r="C681" s="175"/>
      <c r="D681" s="1272"/>
      <c r="E681" s="1272"/>
      <c r="F681" s="1272"/>
      <c r="H681" s="181"/>
      <c r="I681" s="181"/>
      <c r="J681" s="181"/>
      <c r="K681" s="181"/>
    </row>
    <row r="682" spans="1:11">
      <c r="A682" s="175"/>
      <c r="B682" s="175"/>
      <c r="C682" s="175"/>
      <c r="D682" s="1272"/>
      <c r="E682" s="1272"/>
      <c r="F682" s="1272"/>
      <c r="H682" s="181"/>
      <c r="I682" s="181"/>
      <c r="J682" s="181"/>
      <c r="K682" s="181"/>
    </row>
    <row r="683" spans="1:11" ht="15" customHeight="1">
      <c r="A683" s="175"/>
      <c r="B683" s="175"/>
      <c r="C683" s="175"/>
      <c r="D683" s="1272"/>
      <c r="E683" s="1272"/>
      <c r="F683" s="1272"/>
      <c r="H683" s="181"/>
      <c r="I683" s="181"/>
      <c r="J683" s="181"/>
      <c r="K683" s="181"/>
    </row>
    <row r="684" spans="1:11" ht="15" customHeight="1">
      <c r="A684" s="175"/>
      <c r="B684" s="175"/>
      <c r="C684" s="175"/>
      <c r="D684" s="1272"/>
      <c r="E684" s="1272"/>
      <c r="F684" s="1272"/>
      <c r="H684" s="181"/>
      <c r="I684" s="181"/>
      <c r="J684" s="181"/>
      <c r="K684" s="181"/>
    </row>
    <row r="685" spans="1:11">
      <c r="A685" s="175"/>
      <c r="B685" s="175"/>
      <c r="C685" s="175"/>
      <c r="D685" s="1272"/>
      <c r="E685" s="1272"/>
      <c r="F685" s="1272"/>
      <c r="H685" s="181"/>
      <c r="I685" s="181"/>
      <c r="J685" s="181"/>
      <c r="K685" s="181"/>
    </row>
    <row r="686" spans="1:11">
      <c r="A686" s="175"/>
      <c r="B686" s="175"/>
      <c r="C686" s="175"/>
      <c r="D686" s="1272"/>
      <c r="E686" s="1272"/>
      <c r="F686" s="1272"/>
      <c r="H686" s="181"/>
      <c r="I686" s="181"/>
      <c r="J686" s="181"/>
      <c r="K686" s="181"/>
    </row>
    <row r="687" spans="1:11">
      <c r="A687" s="175"/>
      <c r="B687" s="175"/>
      <c r="C687" s="175"/>
      <c r="D687" s="1272"/>
      <c r="E687" s="1272"/>
      <c r="F687" s="1272"/>
      <c r="H687" s="181"/>
      <c r="I687" s="181"/>
      <c r="J687" s="181"/>
      <c r="K687" s="181"/>
    </row>
    <row r="688" spans="1:11" ht="15" customHeight="1">
      <c r="A688" s="175"/>
      <c r="B688" s="175"/>
      <c r="C688" s="175"/>
      <c r="D688" s="1272"/>
      <c r="E688" s="1272"/>
      <c r="F688" s="1272"/>
      <c r="H688" s="181"/>
      <c r="I688" s="181"/>
      <c r="J688" s="181"/>
      <c r="K688" s="181"/>
    </row>
    <row r="689" spans="1:11">
      <c r="A689" s="175"/>
      <c r="B689" s="175"/>
      <c r="C689" s="175"/>
      <c r="D689" s="1272"/>
      <c r="E689" s="1272"/>
      <c r="F689" s="1272"/>
      <c r="H689" s="181"/>
      <c r="I689" s="181"/>
      <c r="J689" s="181"/>
      <c r="K689" s="181"/>
    </row>
    <row r="690" spans="1:11">
      <c r="A690" s="175"/>
      <c r="B690" s="175"/>
      <c r="C690" s="175"/>
      <c r="D690" s="1272"/>
      <c r="E690" s="1272"/>
      <c r="F690" s="1272"/>
      <c r="H690" s="181"/>
      <c r="I690" s="181"/>
      <c r="J690" s="181"/>
      <c r="K690" s="181"/>
    </row>
    <row r="691" spans="1:11">
      <c r="A691" s="175"/>
      <c r="B691" s="175"/>
      <c r="C691" s="175"/>
      <c r="D691" s="1272"/>
      <c r="E691" s="1272"/>
      <c r="F691" s="1272"/>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72" t="s">
        <v>1138</v>
      </c>
      <c r="E693" s="1272"/>
      <c r="F693" s="1272"/>
      <c r="H693" s="181"/>
      <c r="I693" s="181"/>
      <c r="J693" s="181"/>
      <c r="K693" s="181"/>
    </row>
    <row r="694" spans="1:11">
      <c r="A694" s="175"/>
      <c r="B694" s="175"/>
      <c r="C694" s="175"/>
      <c r="D694" s="1272"/>
      <c r="E694" s="1272"/>
      <c r="F694" s="1272"/>
      <c r="H694" s="181"/>
      <c r="I694" s="181"/>
      <c r="J694" s="181"/>
      <c r="K694" s="181"/>
    </row>
    <row r="695" spans="1:11">
      <c r="A695" s="175"/>
      <c r="B695" s="175"/>
      <c r="C695" s="175"/>
      <c r="D695" s="1272"/>
      <c r="E695" s="1272"/>
      <c r="F695" s="1272"/>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72" t="s">
        <v>1135</v>
      </c>
      <c r="E697" s="1272"/>
      <c r="F697" s="1272"/>
      <c r="H697" s="181"/>
      <c r="I697" s="181"/>
      <c r="J697" s="181"/>
      <c r="K697" s="181"/>
    </row>
    <row r="698" spans="1:11">
      <c r="A698" s="175"/>
      <c r="B698" s="175"/>
      <c r="C698" s="175"/>
      <c r="D698" s="1272"/>
      <c r="E698" s="1272"/>
      <c r="F698" s="1272"/>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72" t="s">
        <v>1136</v>
      </c>
      <c r="E700" s="1272"/>
      <c r="F700" s="1272"/>
      <c r="H700" s="181"/>
      <c r="I700" s="181"/>
      <c r="J700" s="181"/>
      <c r="K700" s="181"/>
    </row>
    <row r="701" spans="1:11">
      <c r="A701" s="175"/>
      <c r="B701" s="175"/>
      <c r="C701" s="175"/>
      <c r="D701" s="1272"/>
      <c r="E701" s="1272"/>
      <c r="F701" s="1272"/>
      <c r="H701" s="181"/>
      <c r="I701" s="181"/>
      <c r="J701" s="181"/>
      <c r="K701" s="181"/>
    </row>
    <row r="702" spans="1:11">
      <c r="A702" s="175"/>
      <c r="B702" s="175"/>
      <c r="C702" s="175"/>
      <c r="D702" s="1272"/>
      <c r="E702" s="1272"/>
      <c r="F702" s="1272"/>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72" t="s">
        <v>1129</v>
      </c>
      <c r="E704" s="1272"/>
      <c r="F704" s="1272"/>
      <c r="H704" s="181"/>
      <c r="I704" s="181"/>
      <c r="J704" s="181"/>
      <c r="K704" s="181"/>
    </row>
    <row r="705" spans="1:11">
      <c r="A705" s="175"/>
      <c r="B705" s="175"/>
      <c r="C705" s="175"/>
      <c r="D705" s="1272"/>
      <c r="E705" s="1272"/>
      <c r="F705" s="1272"/>
      <c r="H705" s="181"/>
      <c r="I705" s="181"/>
      <c r="J705" s="181"/>
      <c r="K705" s="181"/>
    </row>
    <row r="706" spans="1:11">
      <c r="A706" s="175"/>
      <c r="B706" s="175"/>
      <c r="C706" s="175"/>
      <c r="D706" s="1272"/>
      <c r="E706" s="1272"/>
      <c r="F706" s="1272"/>
      <c r="H706" s="181"/>
      <c r="I706" s="181"/>
      <c r="J706" s="181"/>
      <c r="K706" s="181"/>
    </row>
    <row r="707" spans="1:11">
      <c r="A707" s="175"/>
      <c r="B707" s="175"/>
      <c r="C707" s="175"/>
      <c r="H707" s="181"/>
      <c r="I707" s="181"/>
      <c r="J707" s="181"/>
      <c r="K707" s="181"/>
    </row>
    <row r="708" spans="1:11">
      <c r="A708" s="175"/>
      <c r="B708" s="468" t="s">
        <v>308</v>
      </c>
      <c r="C708" s="175"/>
      <c r="D708" s="1272" t="s">
        <v>1130</v>
      </c>
      <c r="E708" s="1272"/>
      <c r="F708" s="1272"/>
      <c r="H708" s="181"/>
      <c r="I708" s="181"/>
      <c r="J708" s="181"/>
      <c r="K708" s="181"/>
    </row>
    <row r="709" spans="1:11">
      <c r="A709" s="175"/>
      <c r="B709" s="175"/>
      <c r="C709" s="175"/>
      <c r="D709" s="1272"/>
      <c r="E709" s="1272"/>
      <c r="F709" s="1272"/>
      <c r="H709" s="181"/>
      <c r="I709" s="181"/>
      <c r="J709" s="181"/>
      <c r="K709" s="181"/>
    </row>
    <row r="710" spans="1:11">
      <c r="A710" s="175"/>
      <c r="B710" s="175"/>
      <c r="C710" s="175"/>
      <c r="D710" s="1272"/>
      <c r="E710" s="1272"/>
      <c r="F710" s="1272"/>
      <c r="H710" s="181"/>
      <c r="I710" s="181"/>
      <c r="J710" s="181"/>
      <c r="K710" s="181"/>
    </row>
    <row r="711" spans="1:11">
      <c r="A711" s="175"/>
      <c r="B711" s="175"/>
      <c r="C711" s="175"/>
      <c r="D711"/>
      <c r="H711" s="181"/>
      <c r="I711" s="181"/>
      <c r="J711" s="181"/>
      <c r="K711" s="181"/>
    </row>
    <row r="712" spans="1:11" ht="14.25">
      <c r="A712" s="176"/>
      <c r="B712" s="468" t="s">
        <v>308</v>
      </c>
      <c r="C712" s="175"/>
      <c r="D712" s="1272" t="s">
        <v>1131</v>
      </c>
      <c r="E712" s="1272"/>
      <c r="F712" s="1272"/>
      <c r="H712" s="181"/>
      <c r="I712" s="181"/>
      <c r="J712" s="181"/>
      <c r="K712" s="181"/>
    </row>
    <row r="713" spans="1:11">
      <c r="A713" s="175"/>
      <c r="B713" s="175"/>
      <c r="C713" s="175"/>
      <c r="D713" s="1272"/>
      <c r="E713" s="1272"/>
      <c r="F713" s="1272"/>
      <c r="H713" s="181"/>
      <c r="I713" s="181"/>
      <c r="J713" s="181"/>
      <c r="K713" s="181"/>
    </row>
    <row r="714" spans="1:11">
      <c r="A714" s="175"/>
      <c r="B714" s="175"/>
      <c r="C714" s="175"/>
      <c r="D714" s="1272"/>
      <c r="E714" s="1272"/>
      <c r="F714" s="1272"/>
      <c r="H714" s="181"/>
      <c r="I714" s="181"/>
      <c r="J714" s="181"/>
      <c r="K714" s="181"/>
    </row>
    <row r="715" spans="1:11">
      <c r="A715" s="175"/>
      <c r="B715" s="175"/>
      <c r="C715" s="175"/>
      <c r="D715" s="1272"/>
      <c r="E715" s="1272"/>
      <c r="F715" s="1272"/>
      <c r="H715" s="181"/>
      <c r="I715" s="181"/>
      <c r="J715" s="181"/>
      <c r="K715" s="181"/>
    </row>
    <row r="716" spans="1:11">
      <c r="A716" s="175"/>
      <c r="B716" s="175"/>
      <c r="C716" s="175"/>
      <c r="D716" s="178"/>
      <c r="H716" s="181"/>
      <c r="I716" s="181"/>
      <c r="J716" s="181"/>
      <c r="K716" s="181"/>
    </row>
    <row r="717" spans="1:11" ht="14.25">
      <c r="A717" s="176"/>
      <c r="B717" s="468" t="s">
        <v>308</v>
      </c>
      <c r="C717" s="175"/>
      <c r="D717" s="1272" t="s">
        <v>1264</v>
      </c>
      <c r="E717" s="1272"/>
      <c r="F717" s="1272"/>
      <c r="H717" s="181"/>
      <c r="I717" s="181"/>
      <c r="J717" s="181"/>
      <c r="K717" s="181"/>
    </row>
    <row r="718" spans="1:11">
      <c r="A718" s="175"/>
      <c r="B718" s="175"/>
      <c r="C718" s="175"/>
      <c r="D718" s="1272"/>
      <c r="E718" s="1272"/>
      <c r="F718" s="1272"/>
      <c r="H718" s="181"/>
      <c r="I718" s="181"/>
      <c r="J718" s="181"/>
      <c r="K718" s="181"/>
    </row>
    <row r="719" spans="1:11">
      <c r="A719" s="175"/>
      <c r="B719" s="175"/>
      <c r="C719" s="175"/>
      <c r="D719" s="1272"/>
      <c r="E719" s="1272"/>
      <c r="F719" s="1272"/>
      <c r="H719" s="181"/>
      <c r="I719" s="181"/>
      <c r="J719" s="181"/>
      <c r="K719" s="181"/>
    </row>
    <row r="720" spans="1:11">
      <c r="A720" s="175"/>
      <c r="B720" s="175"/>
      <c r="C720" s="175"/>
      <c r="D720" s="1272"/>
      <c r="E720" s="1272"/>
      <c r="F720" s="1272"/>
      <c r="H720" s="181"/>
      <c r="I720" s="181"/>
      <c r="J720" s="181"/>
      <c r="K720" s="181"/>
    </row>
    <row r="721" spans="1:11">
      <c r="A721" s="175"/>
      <c r="B721" s="175"/>
      <c r="C721" s="175"/>
      <c r="D721" s="1272"/>
      <c r="E721" s="1272"/>
      <c r="F721" s="1272"/>
      <c r="H721" s="181"/>
      <c r="I721" s="181"/>
      <c r="J721" s="181"/>
      <c r="K721" s="181"/>
    </row>
    <row r="722" spans="1:11">
      <c r="A722" s="175"/>
      <c r="B722" s="175"/>
      <c r="C722" s="175"/>
      <c r="D722" s="1272"/>
      <c r="E722" s="1272"/>
      <c r="F722" s="1272"/>
      <c r="H722" s="181"/>
      <c r="I722" s="181"/>
      <c r="J722" s="181"/>
      <c r="K722" s="181"/>
    </row>
    <row r="723" spans="1:11">
      <c r="A723" s="175"/>
      <c r="B723" s="175"/>
      <c r="C723" s="175"/>
      <c r="D723" s="1272"/>
      <c r="E723" s="1272"/>
      <c r="F723" s="1272"/>
      <c r="H723" s="181"/>
      <c r="I723" s="181"/>
      <c r="J723" s="181"/>
      <c r="K723" s="181"/>
    </row>
    <row r="724" spans="1:11">
      <c r="A724" s="175"/>
      <c r="B724" s="175"/>
      <c r="C724" s="175"/>
      <c r="D724" s="1299" t="s">
        <v>1132</v>
      </c>
      <c r="E724" s="1299"/>
      <c r="F724" s="1299"/>
      <c r="H724" s="181"/>
      <c r="I724" s="181"/>
      <c r="J724" s="181"/>
      <c r="K724" s="181"/>
    </row>
    <row r="725" spans="1:11">
      <c r="A725" s="175"/>
      <c r="B725" s="175"/>
      <c r="C725" s="175"/>
      <c r="D725" s="369"/>
      <c r="H725" s="181"/>
      <c r="I725" s="181"/>
      <c r="J725" s="181"/>
      <c r="K725" s="181"/>
    </row>
    <row r="726" spans="1:11">
      <c r="A726" s="1294" t="s">
        <v>1089</v>
      </c>
      <c r="B726" s="1294"/>
      <c r="C726" s="1294"/>
      <c r="D726" s="1294"/>
      <c r="E726" s="1294"/>
      <c r="F726" s="1294"/>
      <c r="G726" s="1294"/>
      <c r="H726" s="181"/>
      <c r="I726" s="181"/>
      <c r="J726" s="181"/>
      <c r="K726" s="181"/>
    </row>
    <row r="727" spans="1:11">
      <c r="A727" s="175"/>
      <c r="B727" s="175"/>
      <c r="C727" s="175"/>
      <c r="D727" s="178"/>
      <c r="G727" s="183"/>
      <c r="H727" s="181"/>
      <c r="I727" s="181"/>
      <c r="J727" s="181"/>
      <c r="K727" s="181"/>
    </row>
    <row r="728" spans="1:11" ht="13.15" customHeight="1">
      <c r="C728" s="175"/>
      <c r="D728" s="1304" t="s">
        <v>1105</v>
      </c>
      <c r="E728" s="1304"/>
      <c r="F728" s="1304"/>
      <c r="G728" s="183"/>
      <c r="H728" s="181"/>
      <c r="I728" s="181"/>
      <c r="J728" s="181"/>
      <c r="K728" s="181"/>
    </row>
    <row r="729" spans="1:11">
      <c r="A729" s="175"/>
      <c r="B729" s="175"/>
      <c r="C729" s="175"/>
      <c r="D729" s="1296" t="s">
        <v>1106</v>
      </c>
      <c r="E729" s="1296"/>
      <c r="F729" s="1296"/>
      <c r="G729" s="183"/>
      <c r="H729" s="181"/>
      <c r="I729" s="181"/>
      <c r="J729" s="181"/>
      <c r="K729" s="181"/>
    </row>
    <row r="730" spans="1:11">
      <c r="A730" s="175"/>
      <c r="B730" s="175"/>
      <c r="C730" s="175"/>
      <c r="G730" s="183"/>
      <c r="H730" s="181"/>
      <c r="I730" s="181"/>
      <c r="J730" s="181"/>
      <c r="K730" s="181"/>
    </row>
    <row r="731" spans="1:11" ht="14.25">
      <c r="A731" s="176"/>
      <c r="B731" s="468" t="s">
        <v>308</v>
      </c>
      <c r="D731" s="1272" t="s">
        <v>1107</v>
      </c>
      <c r="E731" s="1272"/>
      <c r="F731" s="1272"/>
      <c r="G731" s="183"/>
      <c r="H731" s="181"/>
      <c r="I731" s="181"/>
      <c r="J731" s="181"/>
      <c r="K731" s="181"/>
    </row>
    <row r="732" spans="1:11" ht="10.5" customHeight="1">
      <c r="D732" s="1272"/>
      <c r="E732" s="1272"/>
      <c r="F732" s="1272"/>
      <c r="G732" s="183"/>
      <c r="H732" s="181"/>
      <c r="I732" s="181"/>
      <c r="J732" s="181"/>
      <c r="K732" s="181"/>
    </row>
    <row r="733" spans="1:11">
      <c r="D733" s="1272"/>
      <c r="E733" s="1272"/>
      <c r="F733" s="1272"/>
      <c r="G733" s="183"/>
      <c r="H733" s="181"/>
      <c r="I733" s="181"/>
      <c r="J733" s="181"/>
      <c r="K733" s="181"/>
    </row>
    <row r="734" spans="1:11">
      <c r="D734" s="1272"/>
      <c r="E734" s="1272"/>
      <c r="F734" s="1272"/>
      <c r="G734" s="183"/>
      <c r="H734" s="181"/>
      <c r="I734" s="181"/>
      <c r="J734" s="181"/>
      <c r="K734" s="181"/>
    </row>
    <row r="735" spans="1:11">
      <c r="D735" s="1272"/>
      <c r="E735" s="1272"/>
      <c r="F735" s="1272"/>
      <c r="G735" s="183"/>
      <c r="H735" s="181"/>
      <c r="I735" s="181"/>
      <c r="J735" s="181"/>
      <c r="K735" s="181"/>
    </row>
    <row r="736" spans="1:11" ht="15.6" customHeight="1">
      <c r="D736" s="1272"/>
      <c r="E736" s="1272"/>
      <c r="F736" s="1272"/>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72" t="s">
        <v>1108</v>
      </c>
      <c r="E738" s="1272"/>
      <c r="F738" s="1272"/>
      <c r="G738" s="210"/>
    </row>
    <row r="739" spans="1:11" s="274" customFormat="1">
      <c r="A739" s="273"/>
      <c r="B739" s="273"/>
      <c r="C739" s="273"/>
      <c r="D739" s="1272"/>
      <c r="E739" s="1272"/>
      <c r="F739" s="1272"/>
      <c r="G739" s="210"/>
    </row>
    <row r="740" spans="1:11" s="274" customFormat="1">
      <c r="A740" s="273"/>
      <c r="B740" s="273"/>
      <c r="C740" s="273"/>
      <c r="D740" s="1272"/>
      <c r="E740" s="1272"/>
      <c r="F740" s="1272"/>
      <c r="G740" s="210"/>
    </row>
    <row r="741" spans="1:11" s="274" customFormat="1">
      <c r="A741" s="273"/>
      <c r="B741" s="273"/>
      <c r="C741" s="273"/>
      <c r="D741" s="1272"/>
      <c r="E741" s="1272"/>
      <c r="F741" s="1272"/>
      <c r="G741" s="210"/>
    </row>
    <row r="742" spans="1:11" s="274" customFormat="1">
      <c r="A742" s="273"/>
      <c r="B742" s="273"/>
      <c r="C742" s="273"/>
      <c r="D742" s="255"/>
      <c r="E742" s="210"/>
      <c r="F742" s="210"/>
      <c r="G742" s="210"/>
    </row>
    <row r="743" spans="1:11" s="274" customFormat="1" ht="14.25">
      <c r="A743" s="176"/>
      <c r="B743" s="468" t="s">
        <v>308</v>
      </c>
      <c r="C743" s="273"/>
      <c r="D743" s="1305" t="s">
        <v>1109</v>
      </c>
      <c r="E743" s="1305"/>
      <c r="F743" s="1305"/>
      <c r="G743" s="210"/>
    </row>
    <row r="744" spans="1:11" s="274" customFormat="1">
      <c r="A744" s="273"/>
      <c r="B744" s="273"/>
      <c r="C744" s="273"/>
      <c r="D744" s="1305"/>
      <c r="E744" s="1305"/>
      <c r="F744" s="1305"/>
      <c r="G744" s="210"/>
    </row>
    <row r="745" spans="1:11" s="274" customFormat="1">
      <c r="A745" s="273"/>
      <c r="B745" s="273"/>
      <c r="C745" s="273"/>
      <c r="D745" s="1305"/>
      <c r="E745" s="1305"/>
      <c r="F745" s="1305"/>
      <c r="G745" s="210"/>
    </row>
    <row r="746" spans="1:11">
      <c r="D746" s="255"/>
      <c r="E746" s="35"/>
      <c r="F746" s="35"/>
      <c r="G746" s="183"/>
      <c r="H746" s="181"/>
      <c r="I746" s="181"/>
      <c r="J746" s="181"/>
      <c r="K746" s="181"/>
    </row>
    <row r="747" spans="1:11" ht="14.25">
      <c r="A747" s="176"/>
      <c r="B747" s="468" t="s">
        <v>308</v>
      </c>
      <c r="D747" s="1272" t="s">
        <v>1110</v>
      </c>
      <c r="E747" s="1272"/>
      <c r="F747" s="1272"/>
      <c r="G747" s="183"/>
      <c r="H747" s="181"/>
      <c r="I747" s="181"/>
      <c r="J747" s="181"/>
      <c r="K747" s="181"/>
    </row>
    <row r="748" spans="1:11">
      <c r="D748" s="1272"/>
      <c r="E748" s="1272"/>
      <c r="F748" s="1272"/>
      <c r="G748" s="183"/>
      <c r="H748" s="181"/>
      <c r="I748" s="181"/>
      <c r="J748" s="181"/>
      <c r="K748" s="181"/>
    </row>
    <row r="749" spans="1:11">
      <c r="D749" s="474"/>
      <c r="E749" s="474"/>
      <c r="F749" s="474"/>
      <c r="G749" s="183"/>
      <c r="H749" s="181"/>
      <c r="I749" s="181"/>
      <c r="J749" s="181"/>
      <c r="K749" s="181"/>
    </row>
    <row r="750" spans="1:11">
      <c r="B750" s="468" t="s">
        <v>308</v>
      </c>
      <c r="D750" s="1272" t="s">
        <v>1111</v>
      </c>
      <c r="E750" s="1272"/>
      <c r="F750" s="1272"/>
      <c r="G750" s="183"/>
      <c r="H750" s="181"/>
      <c r="I750" s="181"/>
      <c r="J750" s="181"/>
      <c r="K750" s="181"/>
    </row>
    <row r="751" spans="1:11">
      <c r="D751" s="1272"/>
      <c r="E751" s="1272"/>
      <c r="F751" s="1272"/>
      <c r="G751" s="183"/>
      <c r="H751" s="181"/>
      <c r="I751" s="181"/>
      <c r="J751" s="181"/>
      <c r="K751" s="181"/>
    </row>
    <row r="752" spans="1:11">
      <c r="D752" s="1272"/>
      <c r="E752" s="1272"/>
      <c r="F752" s="1272"/>
      <c r="G752" s="183"/>
      <c r="H752" s="181"/>
      <c r="I752" s="181"/>
      <c r="J752" s="181"/>
      <c r="K752" s="181"/>
    </row>
    <row r="753" spans="1:11">
      <c r="D753" s="474"/>
      <c r="E753" s="474"/>
      <c r="F753" s="474"/>
      <c r="G753" s="183"/>
      <c r="H753" s="181"/>
      <c r="I753" s="181"/>
      <c r="J753" s="181"/>
      <c r="K753" s="181"/>
    </row>
    <row r="754" spans="1:11">
      <c r="A754" s="1293" t="s">
        <v>1112</v>
      </c>
      <c r="B754" s="1293"/>
      <c r="C754" s="1293"/>
      <c r="D754" s="1293"/>
      <c r="E754" s="1293"/>
      <c r="F754" s="1293"/>
      <c r="G754" s="1293"/>
    </row>
    <row r="755" spans="1:11">
      <c r="A755" s="175"/>
      <c r="B755" s="175"/>
      <c r="C755" s="175"/>
      <c r="D755" s="184"/>
      <c r="F755" s="35"/>
      <c r="G755" s="183"/>
    </row>
    <row r="756" spans="1:11">
      <c r="D756" s="1301" t="s">
        <v>1096</v>
      </c>
      <c r="E756" s="1301"/>
      <c r="F756" s="1301"/>
      <c r="G756" s="183"/>
    </row>
    <row r="757" spans="1:11">
      <c r="A757" s="345"/>
      <c r="B757" s="345"/>
      <c r="C757" s="345"/>
      <c r="D757" s="1302" t="s">
        <v>1113</v>
      </c>
      <c r="E757" s="1302"/>
      <c r="F757" s="1302"/>
      <c r="G757" s="183"/>
    </row>
    <row r="758" spans="1:11">
      <c r="D758" s="433"/>
      <c r="E758" s="433"/>
      <c r="F758" s="433"/>
      <c r="G758" s="183"/>
    </row>
    <row r="759" spans="1:11" ht="14.25">
      <c r="A759" s="176"/>
      <c r="B759" s="468" t="s">
        <v>308</v>
      </c>
      <c r="D759" s="1302" t="s">
        <v>1006</v>
      </c>
      <c r="E759" s="1302"/>
      <c r="F759" s="1302"/>
      <c r="G759" s="183"/>
    </row>
    <row r="760" spans="1:11">
      <c r="D760" s="433"/>
      <c r="E760" s="1303" t="s">
        <v>1097</v>
      </c>
      <c r="F760" s="1303"/>
      <c r="G760" s="183"/>
    </row>
    <row r="761" spans="1:11">
      <c r="A761" s="172"/>
      <c r="B761" s="172"/>
      <c r="C761" s="172"/>
      <c r="D761" s="35"/>
      <c r="G761" s="183"/>
    </row>
    <row r="762" spans="1:11">
      <c r="A762" s="1300" t="s">
        <v>450</v>
      </c>
      <c r="B762" s="1300"/>
      <c r="C762" s="1300"/>
      <c r="D762" s="1300"/>
      <c r="E762" s="1300"/>
      <c r="F762" s="1300"/>
      <c r="G762" s="1300"/>
    </row>
    <row r="763" spans="1:11">
      <c r="A763" s="172"/>
      <c r="B763" s="172"/>
      <c r="C763" s="179"/>
      <c r="D763" s="183"/>
      <c r="E763" s="183"/>
      <c r="F763" s="183"/>
      <c r="G763" s="183"/>
    </row>
    <row r="764" spans="1:11">
      <c r="A764" s="35"/>
      <c r="B764" s="1296" t="s">
        <v>1005</v>
      </c>
      <c r="C764" s="1296"/>
      <c r="D764" s="1296"/>
      <c r="E764" s="1296"/>
      <c r="F764" s="1296"/>
      <c r="G764" s="183"/>
    </row>
    <row r="765" spans="1:11">
      <c r="A765" s="13"/>
      <c r="B765" s="13"/>
      <c r="G765" s="183"/>
    </row>
    <row r="766" spans="1:11">
      <c r="A766" s="1300" t="s">
        <v>451</v>
      </c>
      <c r="B766" s="1300"/>
      <c r="C766" s="1300"/>
      <c r="D766" s="1300"/>
      <c r="E766" s="1300"/>
      <c r="F766" s="1300"/>
      <c r="G766" s="1300"/>
    </row>
    <row r="767" spans="1:11">
      <c r="A767" s="172"/>
      <c r="B767" s="172"/>
      <c r="C767" s="172"/>
      <c r="D767" s="178"/>
      <c r="G767" s="183"/>
    </row>
    <row r="768" spans="1:11">
      <c r="A768" s="35"/>
      <c r="B768" s="1292" t="s">
        <v>449</v>
      </c>
      <c r="C768" s="1292"/>
      <c r="D768" s="1292"/>
      <c r="E768" s="1292"/>
      <c r="F768" s="1292"/>
      <c r="G768" s="183"/>
    </row>
    <row r="769" spans="1:7" ht="14.25">
      <c r="A769" s="176"/>
      <c r="B769" s="176"/>
      <c r="D769" s="35"/>
      <c r="E769" s="35"/>
      <c r="F769" s="183"/>
      <c r="G769" s="183"/>
    </row>
    <row r="770" spans="1:7">
      <c r="A770" s="1300" t="s">
        <v>452</v>
      </c>
      <c r="B770" s="1300"/>
      <c r="C770" s="1300"/>
      <c r="D770" s="1300"/>
      <c r="E770" s="1300"/>
      <c r="F770" s="1300"/>
      <c r="G770" s="1300"/>
    </row>
    <row r="771" spans="1:7">
      <c r="C771" s="175"/>
      <c r="D771" s="173"/>
      <c r="E771" s="35"/>
      <c r="F771" s="183"/>
      <c r="G771" s="183"/>
    </row>
    <row r="772" spans="1:7">
      <c r="A772" s="35"/>
      <c r="B772" s="1292" t="s">
        <v>449</v>
      </c>
      <c r="C772" s="1292"/>
      <c r="D772" s="1292"/>
      <c r="E772" s="1292"/>
      <c r="F772" s="1292"/>
      <c r="G772" s="183"/>
    </row>
    <row r="773" spans="1:7">
      <c r="A773" s="35"/>
      <c r="B773" s="35"/>
      <c r="C773" s="179"/>
      <c r="D773" s="183"/>
      <c r="E773" s="183"/>
      <c r="F773" s="183"/>
      <c r="G773" s="183"/>
    </row>
    <row r="774" spans="1:7">
      <c r="A774" s="1300" t="s">
        <v>453</v>
      </c>
      <c r="B774" s="1300"/>
      <c r="C774" s="1300"/>
      <c r="D774" s="1300"/>
      <c r="E774" s="1300"/>
      <c r="F774" s="1300"/>
      <c r="G774" s="1300"/>
    </row>
    <row r="775" spans="1:7">
      <c r="A775" s="35"/>
      <c r="B775" s="35"/>
    </row>
    <row r="776" spans="1:7">
      <c r="A776" s="35"/>
      <c r="B776" s="1292" t="s">
        <v>449</v>
      </c>
      <c r="C776" s="1292"/>
      <c r="D776" s="1292"/>
      <c r="E776" s="1292"/>
      <c r="F776" s="1292"/>
    </row>
    <row r="777" spans="1:7">
      <c r="A777" s="179"/>
      <c r="B777" s="179"/>
      <c r="C777" s="179"/>
      <c r="D777" s="174"/>
      <c r="F777" s="183"/>
    </row>
    <row r="778" spans="1:7">
      <c r="A778" s="1300" t="s">
        <v>454</v>
      </c>
      <c r="B778" s="1300"/>
      <c r="C778" s="1300"/>
      <c r="D778" s="1300"/>
      <c r="E778" s="1300"/>
      <c r="F778" s="1300"/>
      <c r="G778" s="1300"/>
    </row>
    <row r="779" spans="1:7">
      <c r="A779" s="35"/>
      <c r="B779" s="35"/>
    </row>
    <row r="780" spans="1:7">
      <c r="A780" s="35"/>
      <c r="B780" s="1292" t="s">
        <v>449</v>
      </c>
      <c r="C780" s="1292"/>
      <c r="D780" s="1292"/>
      <c r="E780" s="1292"/>
      <c r="F780" s="1292"/>
    </row>
    <row r="781" spans="1:7">
      <c r="A781" s="179"/>
      <c r="B781" s="179"/>
      <c r="C781" s="179"/>
      <c r="D781" s="174"/>
      <c r="F781" s="183"/>
    </row>
    <row r="782" spans="1:7">
      <c r="A782" s="1300" t="s">
        <v>455</v>
      </c>
      <c r="B782" s="1300"/>
      <c r="C782" s="1300"/>
      <c r="D782" s="1300"/>
      <c r="E782" s="1300"/>
      <c r="F782" s="1300"/>
      <c r="G782" s="1300"/>
    </row>
    <row r="783" spans="1:7">
      <c r="A783" s="35"/>
      <c r="B783" s="35"/>
    </row>
    <row r="784" spans="1:7">
      <c r="A784" s="35"/>
      <c r="B784" s="1292" t="s">
        <v>449</v>
      </c>
      <c r="C784" s="1292"/>
      <c r="D784" s="1292"/>
      <c r="E784" s="1292"/>
      <c r="F784" s="1292"/>
    </row>
    <row r="785" spans="1:7">
      <c r="D785" s="174"/>
    </row>
    <row r="786" spans="1:7">
      <c r="A786" s="1300" t="s">
        <v>187</v>
      </c>
      <c r="B786" s="1300"/>
      <c r="C786" s="1300"/>
      <c r="D786" s="1300"/>
      <c r="E786" s="1300"/>
      <c r="F786" s="1300"/>
      <c r="G786" s="1300"/>
    </row>
    <row r="787" spans="1:7">
      <c r="A787" s="35"/>
      <c r="B787" s="35"/>
    </row>
    <row r="788" spans="1:7">
      <c r="A788" s="35"/>
      <c r="B788" s="1292" t="s">
        <v>449</v>
      </c>
      <c r="C788" s="1292"/>
      <c r="D788" s="1292"/>
      <c r="E788" s="1292"/>
      <c r="F788" s="1292"/>
    </row>
    <row r="789" spans="1:7">
      <c r="A789" s="35"/>
      <c r="B789" s="35"/>
      <c r="D789" s="174"/>
    </row>
    <row r="790" spans="1:7">
      <c r="A790" s="1300" t="s">
        <v>886</v>
      </c>
      <c r="B790" s="1300"/>
      <c r="C790" s="1300"/>
      <c r="D790" s="1300"/>
      <c r="E790" s="1300"/>
      <c r="F790" s="1300"/>
      <c r="G790" s="1300"/>
    </row>
    <row r="791" spans="1:7">
      <c r="A791" s="35"/>
      <c r="B791" s="35"/>
    </row>
    <row r="792" spans="1:7">
      <c r="A792" s="35"/>
      <c r="B792" s="1292" t="s">
        <v>449</v>
      </c>
      <c r="C792" s="1292"/>
      <c r="D792" s="1292"/>
      <c r="E792" s="1292"/>
      <c r="F792" s="1292"/>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3"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25" t="s">
        <v>2060</v>
      </c>
      <c r="B2" s="1326"/>
      <c r="C2" s="1326"/>
      <c r="D2" s="1326"/>
      <c r="E2" s="1326"/>
      <c r="F2" s="1326"/>
      <c r="G2" s="1326"/>
      <c r="H2" s="1326"/>
      <c r="I2" s="1326"/>
      <c r="J2" s="1326"/>
    </row>
    <row r="3" spans="1:10" ht="15">
      <c r="A3" s="1329" t="s">
        <v>1378</v>
      </c>
      <c r="B3" s="1330"/>
      <c r="C3" s="1330"/>
      <c r="D3" s="1330"/>
      <c r="E3" s="1330"/>
      <c r="F3" s="1330"/>
      <c r="G3" s="1330"/>
      <c r="H3" s="1330"/>
      <c r="I3" s="1330"/>
      <c r="J3" s="1330"/>
    </row>
    <row r="4" spans="1:10" ht="12.75"/>
    <row r="5" spans="1:10" ht="12.75" customHeight="1">
      <c r="A5" s="1327" t="s">
        <v>2361</v>
      </c>
      <c r="B5" s="1327"/>
      <c r="C5" s="1327"/>
      <c r="D5" s="1327"/>
      <c r="E5" s="1327"/>
      <c r="F5" s="1327"/>
      <c r="G5" s="1327"/>
      <c r="H5" s="1327"/>
      <c r="I5" s="1327"/>
      <c r="J5" s="1327"/>
    </row>
    <row r="6" spans="1:10" ht="12.75">
      <c r="A6" s="1327"/>
      <c r="B6" s="1327"/>
      <c r="C6" s="1327"/>
      <c r="D6" s="1327"/>
      <c r="E6" s="1327"/>
      <c r="F6" s="1327"/>
      <c r="G6" s="1327"/>
      <c r="H6" s="1327"/>
      <c r="I6" s="1327"/>
      <c r="J6" s="1327"/>
    </row>
    <row r="7" spans="1:10" ht="30" customHeight="1">
      <c r="A7" s="1327"/>
      <c r="B7" s="1327"/>
      <c r="C7" s="1327"/>
      <c r="D7" s="1327"/>
      <c r="E7" s="1327"/>
      <c r="F7" s="1327"/>
      <c r="G7" s="1327"/>
      <c r="H7" s="1327"/>
      <c r="I7" s="1327"/>
      <c r="J7" s="1327"/>
    </row>
    <row r="8" spans="1:10" ht="12.75">
      <c r="A8" s="447"/>
      <c r="B8" s="447"/>
      <c r="C8" s="447"/>
      <c r="D8" s="447"/>
      <c r="E8" s="447"/>
      <c r="F8" s="447"/>
      <c r="G8" s="447"/>
      <c r="H8" s="447"/>
      <c r="I8" s="447"/>
      <c r="J8" s="447"/>
    </row>
    <row r="9" spans="1:10" ht="12.75" customHeight="1">
      <c r="A9" s="433" t="s">
        <v>2063</v>
      </c>
      <c r="B9" s="447"/>
      <c r="C9" s="447"/>
      <c r="D9" s="447"/>
      <c r="E9" s="447"/>
      <c r="F9" s="447"/>
      <c r="G9" s="447"/>
      <c r="H9" s="447"/>
      <c r="I9" s="447"/>
      <c r="J9" s="447"/>
    </row>
    <row r="10" spans="1:10" ht="12.75"/>
    <row r="11" spans="1:10" ht="12.75" customHeight="1">
      <c r="A11" s="1331" t="s">
        <v>2065</v>
      </c>
      <c r="B11" s="1331"/>
      <c r="C11" s="1331"/>
      <c r="D11" s="1331"/>
      <c r="E11" s="1331"/>
      <c r="F11" s="1331"/>
      <c r="G11" s="1331"/>
      <c r="H11" s="1331"/>
      <c r="I11" s="1331"/>
      <c r="J11" s="1331"/>
    </row>
    <row r="12" spans="1:10" ht="12.75">
      <c r="A12" s="1331"/>
      <c r="B12" s="1331"/>
      <c r="C12" s="1331"/>
      <c r="D12" s="1331"/>
      <c r="E12" s="1331"/>
      <c r="F12" s="1331"/>
      <c r="G12" s="1331"/>
      <c r="H12" s="1331"/>
      <c r="I12" s="1331"/>
      <c r="J12" s="1331"/>
    </row>
    <row r="13" spans="1:10" ht="12.75">
      <c r="A13" s="1331"/>
      <c r="B13" s="1331"/>
      <c r="C13" s="1331"/>
      <c r="D13" s="1331"/>
      <c r="E13" s="1331"/>
      <c r="F13" s="1331"/>
      <c r="G13" s="1331"/>
      <c r="H13" s="1331"/>
      <c r="I13" s="1331"/>
      <c r="J13" s="1331"/>
    </row>
    <row r="14" spans="1:10" ht="12.75">
      <c r="A14" s="1331"/>
      <c r="B14" s="1331"/>
      <c r="C14" s="1331"/>
      <c r="D14" s="1331"/>
      <c r="E14" s="1331"/>
      <c r="F14" s="1331"/>
      <c r="G14" s="1331"/>
      <c r="H14" s="1331"/>
      <c r="I14" s="1331"/>
      <c r="J14" s="1331"/>
    </row>
    <row r="15" spans="1:10" ht="12.75">
      <c r="A15" s="1331"/>
      <c r="B15" s="1331"/>
      <c r="C15" s="1331"/>
      <c r="D15" s="1331"/>
      <c r="E15" s="1331"/>
      <c r="F15" s="1331"/>
      <c r="G15" s="1331"/>
      <c r="H15" s="1331"/>
      <c r="I15" s="1331"/>
      <c r="J15" s="1331"/>
    </row>
    <row r="16" spans="1:10" ht="12.75">
      <c r="A16" s="1331"/>
      <c r="B16" s="1331"/>
      <c r="C16" s="1331"/>
      <c r="D16" s="1331"/>
      <c r="E16" s="1331"/>
      <c r="F16" s="1331"/>
      <c r="G16" s="1331"/>
      <c r="H16" s="1331"/>
      <c r="I16" s="1331"/>
      <c r="J16" s="1331"/>
    </row>
    <row r="17" spans="1:10" ht="12.75">
      <c r="A17" s="558"/>
      <c r="B17" s="558"/>
      <c r="C17" s="558"/>
      <c r="D17" s="558"/>
      <c r="E17" s="558"/>
      <c r="F17" s="558"/>
      <c r="G17" s="558"/>
      <c r="H17" s="558"/>
      <c r="I17" s="558"/>
      <c r="J17" s="558"/>
    </row>
    <row r="18" spans="1:10" ht="12.75">
      <c r="A18" s="510" t="s">
        <v>2064</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30" t="s">
        <v>1296</v>
      </c>
      <c r="B20" s="1330"/>
      <c r="C20" s="1330"/>
      <c r="D20" s="1330"/>
      <c r="E20" s="1330"/>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27" t="s">
        <v>1297</v>
      </c>
      <c r="B57" s="1327"/>
      <c r="C57" s="1327"/>
      <c r="D57" s="1327"/>
      <c r="E57" s="1327"/>
      <c r="F57" s="1327"/>
      <c r="G57" s="1327"/>
      <c r="H57" s="1327"/>
      <c r="I57" s="1327"/>
      <c r="J57" s="1327"/>
    </row>
    <row r="58" spans="1:10" ht="12.75">
      <c r="A58" s="1327"/>
      <c r="B58" s="1327"/>
      <c r="C58" s="1327"/>
      <c r="D58" s="1327"/>
      <c r="E58" s="1327"/>
      <c r="F58" s="1327"/>
      <c r="G58" s="1327"/>
      <c r="H58" s="1327"/>
      <c r="I58" s="1327"/>
      <c r="J58" s="1327"/>
    </row>
    <row r="59" spans="1:10" ht="12.75">
      <c r="A59" s="1327"/>
      <c r="B59" s="1327"/>
      <c r="C59" s="1327"/>
      <c r="D59" s="1327"/>
      <c r="E59" s="1327"/>
      <c r="F59" s="1327"/>
      <c r="G59" s="1327"/>
      <c r="H59" s="1327"/>
      <c r="I59" s="1327"/>
      <c r="J59" s="1327"/>
    </row>
    <row r="60" spans="1:10" ht="12.75"/>
    <row r="61" spans="1:10" ht="12.75">
      <c r="A61" s="433" t="s">
        <v>1296</v>
      </c>
    </row>
    <row r="62" spans="1:10" ht="12.75"/>
    <row r="63" spans="1:10" ht="12.75"/>
    <row r="64" spans="1:10" ht="12.75"/>
    <row r="65" spans="1:9" ht="12.75"/>
    <row r="66" spans="1:9" ht="12.75"/>
    <row r="67" spans="1:9" ht="12.75"/>
    <row r="68" spans="1:9" ht="12.75"/>
    <row r="69" spans="1:9" ht="12.75"/>
    <row r="70" spans="1:9" ht="12.75"/>
    <row r="71" spans="1:9" ht="12.75"/>
    <row r="72" spans="1:9" ht="12.75">
      <c r="A72" s="1328" t="s">
        <v>2061</v>
      </c>
      <c r="B72" s="1328"/>
      <c r="C72" s="1328"/>
      <c r="D72" s="1328"/>
      <c r="E72" s="1328"/>
      <c r="F72" s="1328"/>
      <c r="G72" s="1328"/>
      <c r="H72" s="1328"/>
      <c r="I72" s="1328"/>
    </row>
    <row r="73" spans="1:9" ht="12.75">
      <c r="A73" s="1279" t="s">
        <v>2359</v>
      </c>
      <c r="B73" s="1279"/>
      <c r="C73" s="1279"/>
      <c r="D73" s="1279"/>
      <c r="E73" s="1279"/>
    </row>
    <row r="74" spans="1:9" ht="12.75">
      <c r="A74" s="1279" t="s">
        <v>2360</v>
      </c>
      <c r="B74" s="1279"/>
      <c r="C74" s="1279"/>
      <c r="D74" s="1279"/>
      <c r="E74" s="1279"/>
    </row>
    <row r="75" spans="1:9" ht="12.75">
      <c r="A75" s="1279" t="s">
        <v>2062</v>
      </c>
      <c r="B75" s="1279"/>
      <c r="C75" s="1279"/>
      <c r="D75" s="1279"/>
      <c r="E75" s="1279"/>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1073" zoomScaleNormal="100" workbookViewId="0">
      <selection activeCell="B1103" sqref="B1103"/>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32" t="s">
        <v>2581</v>
      </c>
      <c r="B2" s="1332"/>
      <c r="C2" s="1332"/>
      <c r="D2" s="1332"/>
      <c r="E2" s="1332"/>
      <c r="F2" s="1332"/>
      <c r="G2" s="1332"/>
      <c r="H2" s="1332"/>
      <c r="I2" s="1332"/>
    </row>
    <row r="3" spans="1:13">
      <c r="A3" s="1333" t="s">
        <v>2627</v>
      </c>
      <c r="B3" s="1333"/>
      <c r="C3" s="1333"/>
      <c r="D3" s="1333"/>
      <c r="E3" s="1333"/>
      <c r="F3" s="1333"/>
      <c r="G3" s="1333"/>
      <c r="H3" s="1333"/>
      <c r="I3" s="1333"/>
    </row>
    <row r="4" spans="1:13">
      <c r="A4" s="1333"/>
      <c r="B4" s="1333"/>
      <c r="C4" s="1330"/>
      <c r="D4" s="1330"/>
      <c r="E4" s="1330"/>
      <c r="F4" s="1330"/>
      <c r="G4" s="1330"/>
    </row>
    <row r="5" spans="1:13">
      <c r="A5" s="1333"/>
      <c r="B5" s="1333"/>
      <c r="C5" s="1330"/>
      <c r="D5" s="1330"/>
      <c r="E5" s="1330"/>
      <c r="F5" s="1330"/>
      <c r="G5" s="1330"/>
    </row>
    <row r="6" spans="1:13" ht="12.75" customHeight="1">
      <c r="A6" s="1347" t="s">
        <v>2626</v>
      </c>
      <c r="B6" s="1347"/>
      <c r="C6" s="1347"/>
      <c r="D6" s="1347"/>
      <c r="E6" s="1347"/>
      <c r="F6" s="1347"/>
      <c r="G6" s="1347"/>
      <c r="I6" s="524" t="s">
        <v>2071</v>
      </c>
    </row>
    <row r="7" spans="1:13">
      <c r="A7" s="1347"/>
      <c r="B7" s="1347"/>
      <c r="C7" s="1347"/>
      <c r="D7" s="1347"/>
      <c r="E7" s="1347"/>
      <c r="F7" s="1347"/>
      <c r="G7" s="1347"/>
      <c r="I7" s="524" t="s">
        <v>2072</v>
      </c>
    </row>
    <row r="8" spans="1:13">
      <c r="A8" s="515"/>
      <c r="B8" s="515"/>
      <c r="C8" s="516"/>
      <c r="D8" s="516"/>
      <c r="E8" s="516"/>
      <c r="F8" s="516"/>
    </row>
    <row r="9" spans="1:13">
      <c r="A9" s="1293" t="s">
        <v>1169</v>
      </c>
      <c r="B9" s="1293"/>
      <c r="C9" s="1293"/>
      <c r="D9" s="1293"/>
      <c r="E9" s="1293"/>
      <c r="F9" s="1293"/>
      <c r="G9" s="1293"/>
      <c r="H9" s="1063"/>
      <c r="I9" s="1064"/>
    </row>
    <row r="10" spans="1:13">
      <c r="A10" s="516"/>
      <c r="B10" s="516"/>
      <c r="E10" s="435"/>
    </row>
    <row r="11" spans="1:13" ht="13.7" customHeight="1">
      <c r="C11" s="516"/>
      <c r="D11" s="1346" t="s">
        <v>1168</v>
      </c>
      <c r="E11" s="1346"/>
      <c r="F11" s="1346"/>
    </row>
    <row r="12" spans="1:13">
      <c r="C12" s="516"/>
      <c r="D12" s="1346"/>
      <c r="E12" s="1346"/>
      <c r="F12" s="1346"/>
    </row>
    <row r="13" spans="1:13">
      <c r="A13" s="517"/>
      <c r="B13" s="517"/>
      <c r="C13" s="517"/>
      <c r="D13" s="1316" t="s">
        <v>1151</v>
      </c>
      <c r="E13" s="1316"/>
      <c r="F13" s="1316"/>
      <c r="M13" s="96"/>
    </row>
    <row r="14" spans="1:13">
      <c r="A14" s="517"/>
      <c r="B14" s="517"/>
      <c r="C14" s="517"/>
      <c r="D14" s="510"/>
      <c r="L14" s="336"/>
    </row>
    <row r="15" spans="1:13" ht="14.25">
      <c r="A15" s="518"/>
      <c r="B15" s="519" t="s">
        <v>2802</v>
      </c>
      <c r="C15" s="517"/>
      <c r="D15" s="1287" t="s">
        <v>2222</v>
      </c>
      <c r="E15" s="1287"/>
      <c r="F15" s="1287"/>
      <c r="I15" s="524" t="s">
        <v>2073</v>
      </c>
    </row>
    <row r="16" spans="1:13">
      <c r="A16" s="517"/>
      <c r="B16" s="517"/>
      <c r="C16" s="517"/>
      <c r="D16" s="1287"/>
      <c r="E16" s="1287"/>
      <c r="F16" s="1287"/>
      <c r="I16" s="524"/>
    </row>
    <row r="17" spans="1:9">
      <c r="A17" s="517"/>
      <c r="B17" s="517"/>
      <c r="C17" s="517"/>
      <c r="D17" s="1287"/>
      <c r="E17" s="1287"/>
      <c r="F17" s="1287"/>
      <c r="I17" s="524"/>
    </row>
    <row r="18" spans="1:9">
      <c r="A18" s="517"/>
      <c r="B18" s="517"/>
      <c r="C18" s="517"/>
      <c r="D18" s="479"/>
      <c r="E18" s="336" t="s">
        <v>2220</v>
      </c>
      <c r="F18" s="479"/>
      <c r="I18" s="524"/>
    </row>
    <row r="19" spans="1:9">
      <c r="A19" s="517"/>
      <c r="B19" s="517"/>
      <c r="C19" s="517"/>
      <c r="I19" s="524"/>
    </row>
    <row r="20" spans="1:9" ht="14.25">
      <c r="A20" s="518"/>
      <c r="B20" s="519" t="s">
        <v>2802</v>
      </c>
      <c r="D20" s="1287" t="s">
        <v>2223</v>
      </c>
      <c r="E20" s="1287"/>
      <c r="F20" s="1287"/>
      <c r="I20" s="524" t="s">
        <v>2074</v>
      </c>
    </row>
    <row r="21" spans="1:9" ht="14.25">
      <c r="A21" s="518"/>
      <c r="D21" s="1287"/>
      <c r="E21" s="1287"/>
      <c r="F21" s="1287"/>
      <c r="I21" s="524"/>
    </row>
    <row r="22" spans="1:9" ht="14.25">
      <c r="A22" s="518"/>
      <c r="D22" s="423"/>
      <c r="E22" s="96" t="s">
        <v>2219</v>
      </c>
      <c r="F22" s="423"/>
      <c r="I22" s="524"/>
    </row>
    <row r="23" spans="1:9" ht="14.25">
      <c r="A23" s="518"/>
      <c r="B23" s="518"/>
      <c r="D23" s="480"/>
      <c r="I23" s="524"/>
    </row>
    <row r="24" spans="1:9" ht="14.25">
      <c r="A24" s="518"/>
      <c r="B24" s="519" t="s">
        <v>2803</v>
      </c>
      <c r="D24" s="1287" t="s">
        <v>1154</v>
      </c>
      <c r="E24" s="1287"/>
      <c r="F24" s="1287"/>
      <c r="I24" s="524" t="s">
        <v>2074</v>
      </c>
    </row>
    <row r="25" spans="1:9" ht="14.25">
      <c r="A25" s="518"/>
      <c r="B25" s="518"/>
      <c r="D25" s="1287"/>
      <c r="E25" s="1287"/>
      <c r="F25" s="1287"/>
      <c r="I25" s="524"/>
    </row>
    <row r="26" spans="1:9">
      <c r="I26" s="524"/>
    </row>
    <row r="27" spans="1:9" ht="14.25">
      <c r="A27" s="518"/>
      <c r="B27" s="519" t="s">
        <v>2803</v>
      </c>
      <c r="D27" s="1287" t="s">
        <v>2362</v>
      </c>
      <c r="E27" s="1287"/>
      <c r="F27" s="1287"/>
      <c r="I27" s="524" t="s">
        <v>2077</v>
      </c>
    </row>
    <row r="28" spans="1:9">
      <c r="D28" s="1287"/>
      <c r="E28" s="1287"/>
      <c r="F28" s="1287"/>
      <c r="I28" s="524"/>
    </row>
    <row r="29" spans="1:9">
      <c r="D29" s="1287"/>
      <c r="E29" s="1287"/>
      <c r="F29" s="1287"/>
      <c r="I29" s="524"/>
    </row>
    <row r="30" spans="1:9">
      <c r="D30" s="1287"/>
      <c r="E30" s="1287"/>
      <c r="F30" s="1287"/>
      <c r="I30" s="524"/>
    </row>
    <row r="31" spans="1:9">
      <c r="D31" s="1287"/>
      <c r="E31" s="1287"/>
      <c r="F31" s="1287"/>
      <c r="I31" s="524"/>
    </row>
    <row r="32" spans="1:9">
      <c r="D32" s="481"/>
      <c r="I32" s="524"/>
    </row>
    <row r="33" spans="1:9">
      <c r="B33" s="519" t="s">
        <v>2802</v>
      </c>
      <c r="D33" s="1287" t="s">
        <v>2363</v>
      </c>
      <c r="E33" s="1287"/>
      <c r="F33" s="1287"/>
      <c r="I33" s="524" t="s">
        <v>2073</v>
      </c>
    </row>
    <row r="34" spans="1:9">
      <c r="D34" s="1287"/>
      <c r="E34" s="1287"/>
      <c r="F34" s="1287"/>
      <c r="I34" s="524"/>
    </row>
    <row r="35" spans="1:9" ht="14.25">
      <c r="A35" s="518"/>
      <c r="B35" s="518"/>
      <c r="D35" s="481"/>
      <c r="I35" s="524"/>
    </row>
    <row r="36" spans="1:9" ht="14.45" customHeight="1">
      <c r="A36" s="518"/>
      <c r="B36" s="519" t="s">
        <v>2803</v>
      </c>
      <c r="D36" s="1287" t="s">
        <v>1321</v>
      </c>
      <c r="E36" s="1287"/>
      <c r="F36" s="1287"/>
      <c r="I36" s="524" t="s">
        <v>2144</v>
      </c>
    </row>
    <row r="37" spans="1:9" ht="14.25">
      <c r="A37" s="518"/>
      <c r="B37" s="518"/>
      <c r="D37" s="1287"/>
      <c r="E37" s="1287"/>
      <c r="F37" s="1287"/>
      <c r="I37" s="524"/>
    </row>
    <row r="38" spans="1:9" ht="14.25">
      <c r="A38" s="518"/>
      <c r="B38" s="518"/>
      <c r="D38" s="1287"/>
      <c r="E38" s="1287"/>
      <c r="F38" s="1287"/>
      <c r="I38" s="524"/>
    </row>
    <row r="39" spans="1:9" ht="14.25">
      <c r="A39" s="518"/>
      <c r="B39" s="518"/>
      <c r="D39" s="1287"/>
      <c r="E39" s="1287"/>
      <c r="F39" s="1287"/>
      <c r="I39" s="524"/>
    </row>
    <row r="40" spans="1:9" ht="14.25">
      <c r="A40" s="518"/>
      <c r="B40" s="518"/>
      <c r="I40" s="524"/>
    </row>
    <row r="41" spans="1:9" ht="14.25">
      <c r="A41" s="518"/>
      <c r="B41" s="519" t="s">
        <v>2803</v>
      </c>
      <c r="D41" s="1287" t="s">
        <v>1158</v>
      </c>
      <c r="E41" s="1287"/>
      <c r="F41" s="1287"/>
      <c r="I41" s="524"/>
    </row>
    <row r="42" spans="1:9" ht="14.25">
      <c r="A42" s="518"/>
      <c r="B42" s="518"/>
      <c r="D42" s="1287"/>
      <c r="E42" s="1287"/>
      <c r="F42" s="1287"/>
      <c r="I42" s="524"/>
    </row>
    <row r="43" spans="1:9" ht="14.25">
      <c r="A43" s="518"/>
      <c r="B43" s="518"/>
      <c r="D43" s="1287"/>
      <c r="E43" s="1287"/>
      <c r="F43" s="1287"/>
      <c r="I43" s="524"/>
    </row>
    <row r="44" spans="1:9" ht="14.25">
      <c r="A44" s="518"/>
      <c r="B44" s="518"/>
      <c r="D44" s="1287"/>
      <c r="E44" s="1287"/>
      <c r="F44" s="1287"/>
      <c r="I44" s="524"/>
    </row>
    <row r="45" spans="1:9" ht="14.25">
      <c r="A45" s="518"/>
      <c r="B45" s="518"/>
      <c r="D45" s="1287"/>
      <c r="E45" s="1287"/>
      <c r="F45" s="1287"/>
      <c r="I45" s="524"/>
    </row>
    <row r="46" spans="1:9" ht="14.25">
      <c r="A46" s="518"/>
      <c r="B46" s="518"/>
      <c r="D46" s="479"/>
      <c r="E46" s="479"/>
      <c r="F46" s="479"/>
      <c r="I46" s="524"/>
    </row>
    <row r="47" spans="1:9" ht="14.25">
      <c r="A47" s="518"/>
      <c r="B47" s="519" t="s">
        <v>2803</v>
      </c>
      <c r="D47" s="1287" t="s">
        <v>1159</v>
      </c>
      <c r="E47" s="1287"/>
      <c r="F47" s="1287"/>
      <c r="I47" s="524" t="s">
        <v>2144</v>
      </c>
    </row>
    <row r="48" spans="1:9" ht="14.25">
      <c r="A48" s="518"/>
      <c r="B48" s="518"/>
      <c r="D48" s="1287"/>
      <c r="E48" s="1287"/>
      <c r="F48" s="1287"/>
      <c r="I48" s="524"/>
    </row>
    <row r="49" spans="1:9" ht="14.25">
      <c r="A49" s="518"/>
      <c r="B49" s="518"/>
      <c r="D49" s="1287"/>
      <c r="E49" s="1287"/>
      <c r="F49" s="1287"/>
      <c r="I49" s="524"/>
    </row>
    <row r="50" spans="1:9" ht="23.25" customHeight="1">
      <c r="A50" s="518"/>
      <c r="B50" s="518"/>
      <c r="D50" s="1287"/>
      <c r="E50" s="1287"/>
      <c r="F50" s="1287"/>
      <c r="I50" s="524"/>
    </row>
    <row r="51" spans="1:9" ht="14.25">
      <c r="A51" s="518"/>
      <c r="B51" s="518"/>
      <c r="D51" s="480"/>
      <c r="I51" s="524"/>
    </row>
    <row r="52" spans="1:9" ht="14.45" customHeight="1">
      <c r="A52" s="518"/>
      <c r="B52" s="519" t="s">
        <v>2803</v>
      </c>
      <c r="D52" s="1287" t="s">
        <v>1160</v>
      </c>
      <c r="E52" s="1287"/>
      <c r="F52" s="1287"/>
      <c r="I52" s="524" t="s">
        <v>2144</v>
      </c>
    </row>
    <row r="53" spans="1:9" ht="14.25">
      <c r="A53" s="518"/>
      <c r="B53" s="518"/>
      <c r="D53" s="1287"/>
      <c r="E53" s="1287"/>
      <c r="F53" s="1287"/>
      <c r="I53" s="524"/>
    </row>
    <row r="54" spans="1:9" ht="14.25">
      <c r="A54" s="518"/>
      <c r="B54" s="518"/>
      <c r="D54" s="1287"/>
      <c r="E54" s="1287"/>
      <c r="F54" s="1287"/>
      <c r="I54" s="524"/>
    </row>
    <row r="55" spans="1:9" ht="14.25">
      <c r="A55" s="518"/>
      <c r="B55" s="518"/>
      <c r="I55" s="524"/>
    </row>
    <row r="56" spans="1:9" ht="14.25">
      <c r="A56" s="518"/>
      <c r="B56" s="519" t="s">
        <v>2803</v>
      </c>
      <c r="D56" s="1343" t="s">
        <v>1161</v>
      </c>
      <c r="E56" s="1343"/>
      <c r="F56" s="1343"/>
      <c r="I56" s="524"/>
    </row>
    <row r="57" spans="1:9" ht="14.25">
      <c r="A57" s="518"/>
      <c r="B57" s="518"/>
      <c r="D57" s="1343"/>
      <c r="E57" s="1343"/>
      <c r="F57" s="1343"/>
      <c r="I57" s="524"/>
    </row>
    <row r="58" spans="1:9" ht="14.25">
      <c r="A58" s="518"/>
      <c r="B58" s="518"/>
      <c r="D58" s="423" t="s">
        <v>2221</v>
      </c>
      <c r="E58" s="479"/>
      <c r="F58" s="479"/>
      <c r="I58" s="524"/>
    </row>
    <row r="59" spans="1:9" ht="14.25">
      <c r="A59" s="518"/>
      <c r="B59" s="518"/>
      <c r="D59" s="479"/>
      <c r="E59" s="336" t="s">
        <v>2220</v>
      </c>
      <c r="F59" s="479"/>
      <c r="I59" s="524"/>
    </row>
    <row r="60" spans="1:9">
      <c r="D60" s="481"/>
      <c r="I60" s="524"/>
    </row>
    <row r="61" spans="1:9" ht="14.25">
      <c r="A61" s="518"/>
      <c r="B61" s="519" t="s">
        <v>2803</v>
      </c>
      <c r="D61" s="1287" t="s">
        <v>1162</v>
      </c>
      <c r="E61" s="1287"/>
      <c r="F61" s="1287"/>
      <c r="I61" s="524" t="s">
        <v>2075</v>
      </c>
    </row>
    <row r="62" spans="1:9">
      <c r="D62" s="1287"/>
      <c r="E62" s="1287"/>
      <c r="F62" s="1287"/>
      <c r="I62" s="524"/>
    </row>
    <row r="63" spans="1:9">
      <c r="D63" s="1287"/>
      <c r="E63" s="1287"/>
      <c r="F63" s="1287"/>
      <c r="I63" s="524"/>
    </row>
    <row r="64" spans="1:9">
      <c r="I64" s="524"/>
    </row>
    <row r="65" spans="1:9" ht="14.25">
      <c r="A65" s="518"/>
      <c r="B65" s="519" t="s">
        <v>2802</v>
      </c>
      <c r="D65" s="1287" t="s">
        <v>1163</v>
      </c>
      <c r="E65" s="1287"/>
      <c r="F65" s="1287"/>
      <c r="I65" s="524" t="s">
        <v>2076</v>
      </c>
    </row>
    <row r="66" spans="1:9">
      <c r="D66" s="1287"/>
      <c r="E66" s="1287"/>
      <c r="F66" s="1287"/>
      <c r="I66" s="524"/>
    </row>
    <row r="67" spans="1:9">
      <c r="I67" s="524"/>
    </row>
    <row r="68" spans="1:9" ht="14.25">
      <c r="A68" s="518"/>
      <c r="B68" s="519" t="s">
        <v>2803</v>
      </c>
      <c r="D68" s="1287" t="s">
        <v>1164</v>
      </c>
      <c r="E68" s="1287"/>
      <c r="F68" s="1287"/>
      <c r="I68" s="524"/>
    </row>
    <row r="69" spans="1:9">
      <c r="D69" s="1287"/>
      <c r="E69" s="1287"/>
      <c r="F69" s="1287"/>
      <c r="I69" s="524" t="s">
        <v>2077</v>
      </c>
    </row>
    <row r="70" spans="1:9">
      <c r="D70" s="1287"/>
      <c r="E70" s="1287"/>
      <c r="F70" s="1287"/>
      <c r="I70" s="524"/>
    </row>
    <row r="71" spans="1:9">
      <c r="I71" s="524"/>
    </row>
    <row r="72" spans="1:9" ht="14.25">
      <c r="A72" s="518"/>
      <c r="B72" s="519" t="s">
        <v>2803</v>
      </c>
      <c r="D72" s="1287" t="s">
        <v>1165</v>
      </c>
      <c r="E72" s="1287"/>
      <c r="F72" s="1287"/>
      <c r="I72" s="524" t="s">
        <v>2077</v>
      </c>
    </row>
    <row r="73" spans="1:9">
      <c r="D73" s="1287"/>
      <c r="E73" s="1287"/>
      <c r="F73" s="1287"/>
      <c r="I73" s="524"/>
    </row>
    <row r="74" spans="1:9" ht="14.25">
      <c r="A74" s="518"/>
      <c r="B74" s="518"/>
      <c r="D74" s="480"/>
      <c r="I74" s="524"/>
    </row>
    <row r="75" spans="1:9">
      <c r="A75" s="1293" t="s">
        <v>1072</v>
      </c>
      <c r="B75" s="1293"/>
      <c r="C75" s="1293"/>
      <c r="D75" s="1293"/>
      <c r="E75" s="1293"/>
      <c r="F75" s="1293"/>
      <c r="G75" s="1293"/>
      <c r="H75" s="1063"/>
      <c r="I75" s="1256"/>
    </row>
    <row r="76" spans="1:9">
      <c r="I76" s="524"/>
    </row>
    <row r="77" spans="1:9">
      <c r="C77" s="520"/>
      <c r="D77" s="1315" t="s">
        <v>1170</v>
      </c>
      <c r="E77" s="1315"/>
      <c r="F77" s="1315"/>
      <c r="I77" s="524"/>
    </row>
    <row r="78" spans="1:9">
      <c r="A78" s="480"/>
      <c r="B78" s="480"/>
      <c r="D78" s="1287" t="s">
        <v>1197</v>
      </c>
      <c r="E78" s="1287"/>
      <c r="F78" s="1287"/>
      <c r="I78" s="524"/>
    </row>
    <row r="79" spans="1:9">
      <c r="A79" s="480"/>
      <c r="B79" s="480"/>
      <c r="I79" s="524"/>
    </row>
    <row r="80" spans="1:9" ht="13.7" customHeight="1">
      <c r="A80" s="518"/>
      <c r="B80" s="519" t="s">
        <v>2802</v>
      </c>
      <c r="D80" s="1287" t="s">
        <v>1354</v>
      </c>
      <c r="E80" s="1287"/>
      <c r="F80" s="1287"/>
      <c r="I80" s="524" t="s">
        <v>2078</v>
      </c>
    </row>
    <row r="81" spans="1:9" ht="14.25">
      <c r="A81" s="518"/>
      <c r="B81" s="518"/>
      <c r="D81" s="1287"/>
      <c r="E81" s="1287"/>
      <c r="F81" s="1287"/>
      <c r="I81" s="524"/>
    </row>
    <row r="82" spans="1:9" ht="14.25">
      <c r="A82" s="518"/>
      <c r="B82" s="518"/>
      <c r="D82" s="1287"/>
      <c r="E82" s="1287"/>
      <c r="F82" s="1287"/>
      <c r="I82" s="524"/>
    </row>
    <row r="83" spans="1:9" ht="14.25">
      <c r="A83" s="518"/>
      <c r="B83" s="518"/>
      <c r="D83" s="1287"/>
      <c r="E83" s="1287"/>
      <c r="F83" s="1287"/>
      <c r="I83" s="524"/>
    </row>
    <row r="84" spans="1:9" ht="14.25">
      <c r="A84" s="518"/>
      <c r="B84" s="518"/>
      <c r="D84" s="1287"/>
      <c r="E84" s="1287"/>
      <c r="F84" s="1287"/>
      <c r="I84" s="524"/>
    </row>
    <row r="85" spans="1:9" ht="14.25">
      <c r="A85" s="518"/>
      <c r="B85" s="518"/>
      <c r="D85" s="1287"/>
      <c r="E85" s="1287"/>
      <c r="F85" s="1287"/>
      <c r="I85" s="524"/>
    </row>
    <row r="86" spans="1:9" ht="14.25">
      <c r="A86" s="518"/>
      <c r="B86" s="518"/>
      <c r="D86" s="1287"/>
      <c r="E86" s="1287"/>
      <c r="F86" s="1287"/>
      <c r="I86" s="524"/>
    </row>
    <row r="87" spans="1:9" ht="14.25">
      <c r="A87" s="518"/>
      <c r="B87" s="518"/>
      <c r="D87" s="1287"/>
      <c r="E87" s="1287"/>
      <c r="F87" s="1287"/>
      <c r="I87" s="524"/>
    </row>
    <row r="88" spans="1:9" ht="14.25">
      <c r="A88" s="518"/>
      <c r="B88" s="518"/>
      <c r="D88" s="416"/>
      <c r="E88" s="416"/>
      <c r="F88" s="416"/>
      <c r="I88" s="524"/>
    </row>
    <row r="89" spans="1:9" ht="15" customHeight="1">
      <c r="A89" s="518"/>
      <c r="B89" s="519" t="s">
        <v>2802</v>
      </c>
      <c r="D89" s="1287" t="s">
        <v>1932</v>
      </c>
      <c r="E89" s="1287"/>
      <c r="F89" s="1287"/>
      <c r="I89" s="524" t="s">
        <v>2079</v>
      </c>
    </row>
    <row r="90" spans="1:9" ht="14.25">
      <c r="A90" s="518"/>
      <c r="B90" s="518"/>
      <c r="D90" s="1287"/>
      <c r="E90" s="1287"/>
      <c r="F90" s="1287"/>
      <c r="I90" s="524"/>
    </row>
    <row r="91" spans="1:9" ht="14.25">
      <c r="A91" s="518"/>
      <c r="B91" s="518"/>
      <c r="D91" s="479"/>
      <c r="E91" s="479"/>
      <c r="F91" s="479"/>
      <c r="I91" s="524"/>
    </row>
    <row r="92" spans="1:9" ht="14.25">
      <c r="A92" s="518"/>
      <c r="B92" s="519" t="s">
        <v>2802</v>
      </c>
      <c r="D92" s="1287" t="s">
        <v>1935</v>
      </c>
      <c r="E92" s="1287"/>
      <c r="F92" s="1287"/>
      <c r="I92" s="524" t="s">
        <v>2080</v>
      </c>
    </row>
    <row r="93" spans="1:9" ht="14.25">
      <c r="A93" s="518"/>
      <c r="B93" s="518"/>
      <c r="D93" s="1287"/>
      <c r="E93" s="1287"/>
      <c r="F93" s="1287"/>
      <c r="I93" s="524"/>
    </row>
    <row r="94" spans="1:9" ht="14.25">
      <c r="A94" s="518"/>
      <c r="B94" s="518"/>
      <c r="D94" s="1287"/>
      <c r="E94" s="1287"/>
      <c r="F94" s="1287"/>
      <c r="I94" s="524"/>
    </row>
    <row r="95" spans="1:9" ht="14.25">
      <c r="A95" s="518"/>
      <c r="B95" s="518"/>
      <c r="D95" s="479"/>
      <c r="E95" s="479"/>
      <c r="F95" s="479"/>
      <c r="I95" s="524"/>
    </row>
    <row r="96" spans="1:9" ht="14.25">
      <c r="A96" s="518"/>
      <c r="B96" s="519" t="s">
        <v>2803</v>
      </c>
      <c r="D96" s="1287" t="s">
        <v>1934</v>
      </c>
      <c r="E96" s="1287"/>
      <c r="F96" s="1287"/>
      <c r="I96" s="524" t="s">
        <v>2125</v>
      </c>
    </row>
    <row r="97" spans="1:9" s="1022" customFormat="1" ht="14.25">
      <c r="A97" s="1020"/>
      <c r="B97" s="1020"/>
      <c r="C97" s="1021"/>
      <c r="D97" s="1287"/>
      <c r="E97" s="1287"/>
      <c r="F97" s="1287"/>
      <c r="I97" s="1257"/>
    </row>
    <row r="98" spans="1:9" ht="14.25">
      <c r="A98" s="518"/>
      <c r="B98" s="518"/>
      <c r="D98" s="423"/>
      <c r="E98" s="336" t="s">
        <v>2224</v>
      </c>
      <c r="F98" s="479"/>
      <c r="I98" s="524"/>
    </row>
    <row r="99" spans="1:9" ht="14.25">
      <c r="A99" s="518"/>
      <c r="B99" s="518"/>
      <c r="D99" s="416"/>
      <c r="E99" s="416"/>
      <c r="F99" s="416"/>
      <c r="I99" s="524"/>
    </row>
    <row r="100" spans="1:9" ht="14.25">
      <c r="A100" s="518"/>
      <c r="B100" s="519" t="s">
        <v>2803</v>
      </c>
      <c r="D100" s="1287" t="s">
        <v>1933</v>
      </c>
      <c r="E100" s="1287"/>
      <c r="F100" s="1287"/>
      <c r="I100" s="524" t="s">
        <v>2081</v>
      </c>
    </row>
    <row r="101" spans="1:9" ht="14.25">
      <c r="A101" s="518"/>
      <c r="B101" s="518"/>
      <c r="D101" s="1287"/>
      <c r="E101" s="1287"/>
      <c r="F101" s="1287"/>
      <c r="I101" s="524"/>
    </row>
    <row r="102" spans="1:9" ht="14.25">
      <c r="A102" s="518"/>
      <c r="B102" s="518"/>
      <c r="D102" s="479"/>
      <c r="E102" s="479"/>
      <c r="F102" s="479"/>
      <c r="I102" s="524"/>
    </row>
    <row r="103" spans="1:9" ht="14.45" customHeight="1">
      <c r="A103" s="518"/>
      <c r="B103" s="519" t="s">
        <v>2803</v>
      </c>
      <c r="D103" s="1287" t="s">
        <v>1301</v>
      </c>
      <c r="E103" s="1287"/>
      <c r="F103" s="1287"/>
      <c r="I103" s="524" t="s">
        <v>2082</v>
      </c>
    </row>
    <row r="104" spans="1:9" ht="14.25">
      <c r="A104" s="518"/>
      <c r="B104" s="518"/>
      <c r="D104" s="1287"/>
      <c r="E104" s="1287"/>
      <c r="F104" s="1287"/>
      <c r="I104" s="524"/>
    </row>
    <row r="105" spans="1:9" ht="14.25">
      <c r="A105" s="518"/>
      <c r="B105" s="518"/>
      <c r="D105" s="1287"/>
      <c r="E105" s="1287"/>
      <c r="F105" s="1287"/>
      <c r="I105" s="524"/>
    </row>
    <row r="106" spans="1:9" ht="14.25">
      <c r="A106" s="518"/>
      <c r="B106" s="518"/>
      <c r="D106" s="1287"/>
      <c r="E106" s="1287"/>
      <c r="F106" s="1287"/>
      <c r="I106" s="524"/>
    </row>
    <row r="107" spans="1:9" ht="14.25">
      <c r="A107" s="518"/>
      <c r="B107" s="518"/>
      <c r="D107" s="1287"/>
      <c r="E107" s="1287"/>
      <c r="F107" s="1287"/>
      <c r="I107" s="524"/>
    </row>
    <row r="108" spans="1:9" ht="14.25">
      <c r="A108" s="518"/>
      <c r="B108" s="518"/>
      <c r="D108" s="1287"/>
      <c r="E108" s="1287"/>
      <c r="F108" s="1287"/>
      <c r="I108" s="524"/>
    </row>
    <row r="109" spans="1:9" ht="14.25">
      <c r="A109" s="518"/>
      <c r="B109" s="518"/>
      <c r="D109" s="1287"/>
      <c r="E109" s="1287"/>
      <c r="F109" s="1287"/>
      <c r="I109" s="524"/>
    </row>
    <row r="110" spans="1:9" ht="14.25">
      <c r="A110" s="518"/>
      <c r="B110" s="518"/>
      <c r="D110" s="1287"/>
      <c r="E110" s="1287"/>
      <c r="F110" s="1287"/>
      <c r="I110" s="524"/>
    </row>
    <row r="111" spans="1:9" ht="14.25">
      <c r="A111" s="518"/>
      <c r="B111" s="518"/>
      <c r="D111" s="1287"/>
      <c r="E111" s="1287"/>
      <c r="F111" s="1287"/>
      <c r="I111" s="524"/>
    </row>
    <row r="112" spans="1:9" ht="14.25">
      <c r="A112" s="518"/>
      <c r="B112" s="518"/>
      <c r="D112" s="1287"/>
      <c r="E112" s="1287"/>
      <c r="F112" s="1287"/>
      <c r="I112" s="524"/>
    </row>
    <row r="113" spans="1:9" ht="14.25">
      <c r="A113" s="518"/>
      <c r="B113" s="518"/>
      <c r="D113" s="1287"/>
      <c r="E113" s="1287"/>
      <c r="F113" s="1287"/>
      <c r="I113" s="524"/>
    </row>
    <row r="114" spans="1:9" ht="14.25">
      <c r="A114" s="518"/>
      <c r="B114" s="518"/>
      <c r="D114" s="1287"/>
      <c r="E114" s="1287"/>
      <c r="F114" s="1287"/>
      <c r="I114" s="524"/>
    </row>
    <row r="115" spans="1:9" ht="14.25">
      <c r="A115" s="518"/>
      <c r="B115" s="518"/>
      <c r="D115" s="1287"/>
      <c r="E115" s="1287"/>
      <c r="F115" s="1287"/>
      <c r="I115" s="524"/>
    </row>
    <row r="116" spans="1:9" ht="14.25">
      <c r="A116" s="518"/>
      <c r="B116" s="518"/>
      <c r="D116" s="1287"/>
      <c r="E116" s="1287"/>
      <c r="F116" s="1287"/>
      <c r="I116" s="524"/>
    </row>
    <row r="117" spans="1:9" ht="14.25">
      <c r="A117" s="518"/>
      <c r="B117" s="518"/>
      <c r="D117" s="1287"/>
      <c r="E117" s="1287"/>
      <c r="F117" s="1287"/>
      <c r="I117" s="524"/>
    </row>
    <row r="118" spans="1:9" ht="14.25">
      <c r="A118" s="518"/>
      <c r="B118" s="518"/>
      <c r="D118" s="558"/>
      <c r="E118" s="558"/>
      <c r="F118" s="558"/>
      <c r="I118" s="524"/>
    </row>
    <row r="119" spans="1:9" ht="14.25" customHeight="1">
      <c r="A119" s="518"/>
      <c r="B119" s="519" t="s">
        <v>2803</v>
      </c>
      <c r="D119" s="1314" t="s">
        <v>1172</v>
      </c>
      <c r="E119" s="1314"/>
      <c r="F119" s="1314"/>
      <c r="I119" s="524"/>
    </row>
    <row r="120" spans="1:9" ht="14.25">
      <c r="A120" s="518"/>
      <c r="B120" s="518"/>
      <c r="D120" s="1314"/>
      <c r="E120" s="1314"/>
      <c r="F120" s="1314"/>
      <c r="I120" s="524"/>
    </row>
    <row r="121" spans="1:9" ht="14.25">
      <c r="A121" s="518"/>
      <c r="B121" s="518"/>
      <c r="D121" s="1314"/>
      <c r="E121" s="1314"/>
      <c r="F121" s="1314"/>
      <c r="I121" s="524"/>
    </row>
    <row r="122" spans="1:9" ht="14.25">
      <c r="A122" s="518"/>
      <c r="B122" s="518"/>
      <c r="D122" s="1314"/>
      <c r="E122" s="1314"/>
      <c r="F122" s="1314"/>
      <c r="I122" s="524"/>
    </row>
    <row r="123" spans="1:9" ht="14.25">
      <c r="A123" s="518"/>
      <c r="B123" s="518"/>
      <c r="D123" s="1314"/>
      <c r="E123" s="1314"/>
      <c r="F123" s="1314"/>
      <c r="I123" s="524"/>
    </row>
    <row r="124" spans="1:9" ht="14.25">
      <c r="A124" s="518"/>
      <c r="B124" s="518"/>
      <c r="D124" s="1314"/>
      <c r="E124" s="1314"/>
      <c r="F124" s="1314"/>
      <c r="I124" s="524"/>
    </row>
    <row r="125" spans="1:9" ht="14.25">
      <c r="A125" s="518"/>
      <c r="B125" s="518"/>
      <c r="D125" s="1314"/>
      <c r="E125" s="1314"/>
      <c r="F125" s="1314"/>
      <c r="I125" s="524"/>
    </row>
    <row r="126" spans="1:9" ht="14.25">
      <c r="A126" s="518"/>
      <c r="B126" s="518"/>
      <c r="D126" s="1314"/>
      <c r="E126" s="1314"/>
      <c r="F126" s="1314"/>
      <c r="I126" s="524"/>
    </row>
    <row r="127" spans="1:9">
      <c r="C127" s="433"/>
      <c r="D127" s="559"/>
      <c r="E127" s="559"/>
      <c r="F127" s="559"/>
      <c r="I127" s="524"/>
    </row>
    <row r="128" spans="1:9" ht="14.25">
      <c r="A128" s="518"/>
      <c r="B128" s="519" t="s">
        <v>2802</v>
      </c>
      <c r="C128" s="433"/>
      <c r="D128" s="1314" t="s">
        <v>2364</v>
      </c>
      <c r="E128" s="1314"/>
      <c r="F128" s="1314"/>
      <c r="I128" s="524" t="s">
        <v>2083</v>
      </c>
    </row>
    <row r="129" spans="1:9" ht="14.25">
      <c r="A129" s="518"/>
      <c r="B129" s="518"/>
      <c r="C129" s="433"/>
      <c r="D129" s="1314"/>
      <c r="E129" s="1314"/>
      <c r="F129" s="1314"/>
      <c r="I129" s="524"/>
    </row>
    <row r="130" spans="1:9">
      <c r="I130" s="524"/>
    </row>
    <row r="131" spans="1:9" ht="14.25">
      <c r="A131" s="518"/>
      <c r="B131" s="519" t="s">
        <v>2802</v>
      </c>
      <c r="D131" s="1287" t="s">
        <v>1175</v>
      </c>
      <c r="E131" s="1287"/>
      <c r="F131" s="1287"/>
      <c r="I131" s="524" t="s">
        <v>2083</v>
      </c>
    </row>
    <row r="132" spans="1:9">
      <c r="D132" s="1287"/>
      <c r="E132" s="1287"/>
      <c r="F132" s="1287"/>
      <c r="I132" s="524"/>
    </row>
    <row r="133" spans="1:9">
      <c r="D133" s="1287"/>
      <c r="E133" s="1287"/>
      <c r="F133" s="1287"/>
      <c r="I133" s="524"/>
    </row>
    <row r="134" spans="1:9">
      <c r="D134" s="1287"/>
      <c r="E134" s="1287"/>
      <c r="F134" s="1287"/>
      <c r="I134" s="524"/>
    </row>
    <row r="135" spans="1:9">
      <c r="D135" s="1287"/>
      <c r="E135" s="1287"/>
      <c r="F135" s="1287"/>
      <c r="I135" s="524"/>
    </row>
    <row r="136" spans="1:9">
      <c r="I136" s="524"/>
    </row>
    <row r="137" spans="1:9" ht="14.25">
      <c r="A137" s="518"/>
      <c r="B137" s="519" t="s">
        <v>2802</v>
      </c>
      <c r="D137" s="1287" t="s">
        <v>1176</v>
      </c>
      <c r="E137" s="1287"/>
      <c r="F137" s="1287"/>
      <c r="I137" s="524" t="s">
        <v>2084</v>
      </c>
    </row>
    <row r="138" spans="1:9" s="448" customFormat="1" ht="13.7" customHeight="1">
      <c r="A138" s="522"/>
      <c r="B138" s="522"/>
      <c r="C138" s="522"/>
      <c r="D138" s="1287"/>
      <c r="E138" s="1287"/>
      <c r="F138" s="1287"/>
      <c r="I138" s="1258"/>
    </row>
    <row r="139" spans="1:9" ht="13.7" customHeight="1">
      <c r="D139" s="1287"/>
      <c r="E139" s="1287"/>
      <c r="F139" s="1287"/>
      <c r="I139" s="524"/>
    </row>
    <row r="140" spans="1:9" ht="13.7" customHeight="1">
      <c r="D140" s="1287"/>
      <c r="E140" s="1287"/>
      <c r="F140" s="1287"/>
      <c r="I140" s="524"/>
    </row>
    <row r="141" spans="1:9" ht="13.7" customHeight="1">
      <c r="D141" s="1287"/>
      <c r="E141" s="1287"/>
      <c r="F141" s="1287"/>
      <c r="I141" s="524"/>
    </row>
    <row r="142" spans="1:9" ht="13.7" customHeight="1">
      <c r="A142" s="523"/>
      <c r="B142" s="523"/>
      <c r="D142" s="1287"/>
      <c r="E142" s="1287"/>
      <c r="F142" s="1287"/>
      <c r="I142" s="524"/>
    </row>
    <row r="143" spans="1:9" ht="13.7" customHeight="1">
      <c r="D143" s="1287"/>
      <c r="E143" s="1287"/>
      <c r="F143" s="1287"/>
      <c r="I143" s="524"/>
    </row>
    <row r="144" spans="1:9" ht="13.7" customHeight="1">
      <c r="D144" s="1287"/>
      <c r="E144" s="1287"/>
      <c r="F144" s="1287"/>
      <c r="I144" s="524"/>
    </row>
    <row r="145" spans="2:9" ht="13.7" customHeight="1">
      <c r="D145" s="1287"/>
      <c r="E145" s="1287"/>
      <c r="F145" s="1287"/>
      <c r="I145" s="524"/>
    </row>
    <row r="146" spans="2:9" ht="13.7" customHeight="1">
      <c r="D146" s="1287"/>
      <c r="E146" s="1287"/>
      <c r="F146" s="1287"/>
      <c r="I146" s="524"/>
    </row>
    <row r="147" spans="2:9" ht="13.7" customHeight="1">
      <c r="D147" s="1287"/>
      <c r="E147" s="1287"/>
      <c r="F147" s="1287"/>
      <c r="I147" s="524"/>
    </row>
    <row r="148" spans="2:9" ht="13.7" customHeight="1">
      <c r="D148" s="1287"/>
      <c r="E148" s="1287"/>
      <c r="F148" s="1287"/>
      <c r="I148" s="524"/>
    </row>
    <row r="149" spans="2:9" ht="13.7" customHeight="1">
      <c r="D149" s="1287"/>
      <c r="E149" s="1287"/>
      <c r="F149" s="1287"/>
      <c r="I149" s="524"/>
    </row>
    <row r="150" spans="2:9" ht="13.7" customHeight="1">
      <c r="D150" s="510"/>
      <c r="E150" s="480"/>
      <c r="F150" s="480"/>
      <c r="I150" s="524"/>
    </row>
    <row r="151" spans="2:9" ht="13.7" customHeight="1">
      <c r="B151" s="519" t="s">
        <v>2802</v>
      </c>
      <c r="D151" s="1287" t="s">
        <v>1284</v>
      </c>
      <c r="E151" s="1287"/>
      <c r="F151" s="1287"/>
      <c r="I151" s="524" t="s">
        <v>2085</v>
      </c>
    </row>
    <row r="152" spans="2:9" ht="13.7" customHeight="1">
      <c r="D152" s="1287"/>
      <c r="E152" s="1287"/>
      <c r="F152" s="1287"/>
      <c r="I152" s="524"/>
    </row>
    <row r="153" spans="2:9" ht="13.7" customHeight="1">
      <c r="D153" s="1287"/>
      <c r="E153" s="1287"/>
      <c r="F153" s="1287"/>
      <c r="I153" s="524"/>
    </row>
    <row r="154" spans="2:9" ht="13.7" customHeight="1">
      <c r="D154" s="1287"/>
      <c r="E154" s="1287"/>
      <c r="F154" s="1287"/>
      <c r="I154" s="524"/>
    </row>
    <row r="155" spans="2:9" ht="13.7" customHeight="1">
      <c r="D155" s="1287"/>
      <c r="E155" s="1287"/>
      <c r="F155" s="1287"/>
      <c r="I155" s="524"/>
    </row>
    <row r="156" spans="2:9" ht="13.7" customHeight="1">
      <c r="D156" s="1287"/>
      <c r="E156" s="1287"/>
      <c r="F156" s="1287"/>
      <c r="I156" s="524"/>
    </row>
    <row r="157" spans="2:9" ht="13.7" customHeight="1">
      <c r="D157" s="1287"/>
      <c r="E157" s="1287"/>
      <c r="F157" s="1287"/>
      <c r="I157" s="524"/>
    </row>
    <row r="158" spans="2:9" ht="13.7" customHeight="1">
      <c r="D158" s="1287"/>
      <c r="E158" s="1287"/>
      <c r="F158" s="1287"/>
      <c r="I158" s="524"/>
    </row>
    <row r="159" spans="2:9" ht="13.7" customHeight="1">
      <c r="D159" s="1287"/>
      <c r="E159" s="1287"/>
      <c r="F159" s="1287"/>
      <c r="I159" s="524"/>
    </row>
    <row r="160" spans="2:9" ht="13.7" customHeight="1">
      <c r="D160" s="1287"/>
      <c r="E160" s="1287"/>
      <c r="F160" s="1287"/>
      <c r="I160" s="524"/>
    </row>
    <row r="161" spans="1:9" ht="13.7" customHeight="1">
      <c r="D161" s="1287"/>
      <c r="E161" s="1287"/>
      <c r="F161" s="1287"/>
      <c r="I161" s="524"/>
    </row>
    <row r="162" spans="1:9" ht="13.7" customHeight="1">
      <c r="D162" s="1287"/>
      <c r="E162" s="1287"/>
      <c r="F162" s="1287"/>
      <c r="I162" s="524"/>
    </row>
    <row r="163" spans="1:9" ht="13.7" customHeight="1">
      <c r="D163" s="1287"/>
      <c r="E163" s="1287"/>
      <c r="F163" s="1287"/>
      <c r="I163" s="524"/>
    </row>
    <row r="164" spans="1:9" ht="13.7" customHeight="1">
      <c r="D164" s="1287"/>
      <c r="E164" s="1287"/>
      <c r="F164" s="1287"/>
      <c r="I164" s="524"/>
    </row>
    <row r="165" spans="1:9" ht="13.7" customHeight="1">
      <c r="D165" s="1287"/>
      <c r="E165" s="1287"/>
      <c r="F165" s="1287"/>
      <c r="I165" s="524"/>
    </row>
    <row r="166" spans="1:9" ht="13.7" customHeight="1">
      <c r="D166" s="1287"/>
      <c r="E166" s="1287"/>
      <c r="F166" s="1287"/>
      <c r="I166" s="524"/>
    </row>
    <row r="167" spans="1:9" ht="13.7" customHeight="1">
      <c r="D167" s="1287"/>
      <c r="E167" s="1287"/>
      <c r="F167" s="1287"/>
      <c r="I167" s="524"/>
    </row>
    <row r="168" spans="1:9" ht="13.7" customHeight="1">
      <c r="D168" s="1287"/>
      <c r="E168" s="1287"/>
      <c r="F168" s="1287"/>
      <c r="I168" s="524"/>
    </row>
    <row r="169" spans="1:9" ht="13.7" customHeight="1">
      <c r="D169" s="1345" t="s">
        <v>2388</v>
      </c>
      <c r="E169" s="1345"/>
      <c r="F169" s="1345"/>
      <c r="G169" s="541"/>
      <c r="I169" s="524"/>
    </row>
    <row r="170" spans="1:9" ht="13.7" customHeight="1">
      <c r="D170" s="1320"/>
      <c r="E170" s="1320"/>
      <c r="F170" s="1320"/>
      <c r="G170" s="1320"/>
      <c r="I170" s="524"/>
    </row>
    <row r="171" spans="1:9" ht="14.45" customHeight="1">
      <c r="A171" s="523"/>
      <c r="B171" s="519" t="s">
        <v>2803</v>
      </c>
      <c r="C171" s="510"/>
      <c r="D171" s="1275" t="s">
        <v>2576</v>
      </c>
      <c r="E171" s="1275"/>
      <c r="F171" s="1275"/>
      <c r="G171" s="510"/>
      <c r="I171" s="524" t="s">
        <v>2080</v>
      </c>
    </row>
    <row r="172" spans="1:9" ht="14.45" customHeight="1">
      <c r="A172" s="523"/>
      <c r="B172" s="523"/>
      <c r="C172" s="510"/>
      <c r="D172" s="1275"/>
      <c r="E172" s="1275"/>
      <c r="F172" s="1275"/>
      <c r="G172" s="510"/>
      <c r="I172" s="524"/>
    </row>
    <row r="173" spans="1:9" ht="14.45" customHeight="1">
      <c r="A173" s="523"/>
      <c r="B173" s="523"/>
      <c r="C173" s="510"/>
      <c r="D173" s="1275"/>
      <c r="E173" s="1275"/>
      <c r="F173" s="1275"/>
      <c r="G173" s="510"/>
      <c r="I173" s="524"/>
    </row>
    <row r="174" spans="1:9" ht="14.45" customHeight="1">
      <c r="A174" s="523"/>
      <c r="B174" s="523"/>
      <c r="C174" s="510"/>
      <c r="D174" s="1275"/>
      <c r="E174" s="1275"/>
      <c r="F174" s="1275"/>
      <c r="G174" s="510"/>
      <c r="I174" s="524"/>
    </row>
    <row r="175" spans="1:9" ht="13.7" customHeight="1">
      <c r="A175" s="523"/>
      <c r="B175" s="523"/>
      <c r="C175" s="510"/>
      <c r="D175" s="1275"/>
      <c r="E175" s="1275"/>
      <c r="F175" s="1275"/>
      <c r="G175" s="510"/>
      <c r="I175" s="524"/>
    </row>
    <row r="176" spans="1:9" ht="13.7" customHeight="1">
      <c r="A176" s="523"/>
      <c r="B176" s="523"/>
      <c r="C176" s="510"/>
      <c r="D176" s="510"/>
      <c r="E176" s="510"/>
      <c r="F176" s="510"/>
      <c r="G176" s="510"/>
      <c r="I176" s="524"/>
    </row>
    <row r="177" spans="1:9" ht="13.7" customHeight="1">
      <c r="A177" s="523"/>
      <c r="B177" s="519" t="s">
        <v>2802</v>
      </c>
      <c r="C177" s="510"/>
      <c r="D177" s="1275" t="s">
        <v>1178</v>
      </c>
      <c r="E177" s="1275"/>
      <c r="F177" s="1275"/>
      <c r="G177" s="510"/>
      <c r="I177" s="524" t="s">
        <v>2086</v>
      </c>
    </row>
    <row r="178" spans="1:9" ht="13.7" customHeight="1">
      <c r="A178" s="523"/>
      <c r="B178" s="523"/>
      <c r="C178" s="510"/>
      <c r="D178" s="1275"/>
      <c r="E178" s="1275"/>
      <c r="F178" s="1275"/>
      <c r="G178" s="510"/>
      <c r="I178" s="524"/>
    </row>
    <row r="179" spans="1:9" ht="13.7" customHeight="1">
      <c r="A179" s="523"/>
      <c r="B179" s="523"/>
      <c r="C179" s="510"/>
      <c r="D179" s="1275"/>
      <c r="E179" s="1275"/>
      <c r="F179" s="1275"/>
      <c r="G179" s="510"/>
      <c r="I179" s="524"/>
    </row>
    <row r="180" spans="1:9" ht="13.7" customHeight="1">
      <c r="A180" s="523"/>
      <c r="B180" s="523"/>
      <c r="C180" s="510"/>
      <c r="D180" s="1275"/>
      <c r="E180" s="1275"/>
      <c r="F180" s="1275"/>
      <c r="G180" s="510"/>
      <c r="I180" s="524"/>
    </row>
    <row r="181" spans="1:9" ht="13.7" customHeight="1">
      <c r="D181" s="480"/>
      <c r="E181" s="480"/>
      <c r="F181" s="480"/>
      <c r="I181" s="524"/>
    </row>
    <row r="182" spans="1:9" ht="13.7" customHeight="1">
      <c r="B182" s="519" t="s">
        <v>2803</v>
      </c>
      <c r="D182" s="1309" t="s">
        <v>2365</v>
      </c>
      <c r="E182" s="1309"/>
      <c r="F182" s="1309"/>
      <c r="I182" s="524" t="s">
        <v>2087</v>
      </c>
    </row>
    <row r="183" spans="1:9" ht="13.7" customHeight="1">
      <c r="D183" s="1309"/>
      <c r="E183" s="1309"/>
      <c r="F183" s="1309"/>
      <c r="I183" s="524"/>
    </row>
    <row r="184" spans="1:9" ht="13.7" customHeight="1">
      <c r="D184" s="1309"/>
      <c r="E184" s="1309"/>
      <c r="F184" s="1309"/>
      <c r="I184" s="524"/>
    </row>
    <row r="185" spans="1:9" ht="13.7" customHeight="1">
      <c r="A185" s="524"/>
      <c r="B185" s="524"/>
      <c r="E185" s="480"/>
      <c r="F185" s="480"/>
      <c r="I185" s="524"/>
    </row>
    <row r="186" spans="1:9">
      <c r="A186" s="1293" t="s">
        <v>2366</v>
      </c>
      <c r="B186" s="1293"/>
      <c r="C186" s="1293"/>
      <c r="D186" s="1293"/>
      <c r="E186" s="1293"/>
      <c r="F186" s="1293"/>
      <c r="G186" s="1293"/>
      <c r="H186" s="1063"/>
      <c r="I186" s="1256"/>
    </row>
    <row r="187" spans="1:9" ht="12" customHeight="1">
      <c r="D187" s="480"/>
      <c r="E187" s="480"/>
      <c r="F187" s="480"/>
      <c r="I187" s="524"/>
    </row>
    <row r="188" spans="1:9">
      <c r="B188" s="1302" t="s">
        <v>449</v>
      </c>
      <c r="C188" s="1302"/>
      <c r="D188" s="1302"/>
      <c r="E188" s="1302"/>
      <c r="F188" s="1302"/>
      <c r="I188" s="524"/>
    </row>
    <row r="189" spans="1:9">
      <c r="B189" s="423" t="s">
        <v>2066</v>
      </c>
      <c r="C189" s="423"/>
      <c r="D189" s="423"/>
      <c r="E189" s="423"/>
      <c r="F189" s="423"/>
      <c r="I189" s="524"/>
    </row>
    <row r="190" spans="1:9" ht="12" customHeight="1">
      <c r="A190" s="516"/>
      <c r="B190" s="516"/>
      <c r="C190" s="516"/>
      <c r="I190" s="524"/>
    </row>
    <row r="191" spans="1:9">
      <c r="A191" s="1293" t="s">
        <v>1074</v>
      </c>
      <c r="B191" s="1293"/>
      <c r="C191" s="1293"/>
      <c r="D191" s="1293"/>
      <c r="E191" s="1293"/>
      <c r="F191" s="1293"/>
      <c r="G191" s="1293"/>
      <c r="H191" s="1063"/>
      <c r="I191" s="1256"/>
    </row>
    <row r="192" spans="1:9" ht="12" customHeight="1">
      <c r="A192" s="435"/>
      <c r="B192" s="435"/>
      <c r="E192" s="435"/>
      <c r="I192" s="524"/>
    </row>
    <row r="193" spans="1:9" ht="13.7" customHeight="1">
      <c r="A193" s="435"/>
      <c r="B193" s="435"/>
      <c r="D193" s="1315" t="s">
        <v>1936</v>
      </c>
      <c r="E193" s="1315"/>
      <c r="F193" s="1315"/>
      <c r="I193" s="524"/>
    </row>
    <row r="194" spans="1:9">
      <c r="A194" s="435"/>
      <c r="B194" s="435"/>
      <c r="D194" s="1315"/>
      <c r="E194" s="1315"/>
      <c r="F194" s="1315"/>
      <c r="I194" s="524"/>
    </row>
    <row r="195" spans="1:9">
      <c r="A195" s="435"/>
      <c r="B195" s="435"/>
      <c r="D195" s="1302" t="s">
        <v>1302</v>
      </c>
      <c r="E195" s="1302"/>
      <c r="F195" s="1302"/>
      <c r="I195" s="524"/>
    </row>
    <row r="196" spans="1:9">
      <c r="A196" s="435"/>
      <c r="B196" s="435"/>
      <c r="D196" s="423"/>
      <c r="E196" s="423"/>
      <c r="F196" s="423"/>
      <c r="I196" s="524"/>
    </row>
    <row r="197" spans="1:9">
      <c r="A197" s="435"/>
      <c r="B197" s="519" t="s">
        <v>2802</v>
      </c>
      <c r="D197" s="1292" t="s">
        <v>1937</v>
      </c>
      <c r="E197" s="1292"/>
      <c r="F197" s="1292"/>
      <c r="I197" s="524" t="s">
        <v>2136</v>
      </c>
    </row>
    <row r="198" spans="1:9">
      <c r="A198" s="435"/>
      <c r="B198" s="435"/>
      <c r="D198" s="1296" t="s">
        <v>2202</v>
      </c>
      <c r="E198" s="1296"/>
      <c r="F198" s="1296"/>
      <c r="I198" s="524"/>
    </row>
    <row r="199" spans="1:9">
      <c r="A199" s="435"/>
      <c r="B199" s="435"/>
      <c r="D199" s="96" t="s">
        <v>1938</v>
      </c>
      <c r="E199" s="1344" t="s">
        <v>2225</v>
      </c>
      <c r="F199" s="1344"/>
      <c r="I199" s="524"/>
    </row>
    <row r="200" spans="1:9">
      <c r="A200" s="435"/>
      <c r="B200" s="435"/>
      <c r="D200" s="3"/>
      <c r="E200" s="3"/>
      <c r="F200" s="3"/>
      <c r="I200" s="524"/>
    </row>
    <row r="201" spans="1:9">
      <c r="A201" s="435"/>
      <c r="B201" s="519" t="s">
        <v>2803</v>
      </c>
      <c r="D201" s="1296" t="s">
        <v>1939</v>
      </c>
      <c r="E201" s="1296"/>
      <c r="F201" s="1296"/>
      <c r="I201" s="524" t="s">
        <v>2137</v>
      </c>
    </row>
    <row r="202" spans="1:9">
      <c r="A202" s="435"/>
      <c r="B202" s="435"/>
      <c r="D202" s="1292" t="s">
        <v>2202</v>
      </c>
      <c r="E202" s="1292"/>
      <c r="F202" s="1292"/>
      <c r="I202" s="524"/>
    </row>
    <row r="203" spans="1:9">
      <c r="A203" s="435"/>
      <c r="B203" s="435"/>
      <c r="D203" s="57" t="s">
        <v>1940</v>
      </c>
      <c r="E203" s="1344" t="s">
        <v>2226</v>
      </c>
      <c r="F203" s="1344"/>
      <c r="I203" s="524"/>
    </row>
    <row r="204" spans="1:9">
      <c r="A204" s="435"/>
      <c r="B204" s="435"/>
      <c r="D204" s="3"/>
      <c r="E204" s="3"/>
      <c r="F204" s="3"/>
      <c r="I204" s="524"/>
    </row>
    <row r="205" spans="1:9">
      <c r="A205" s="435"/>
      <c r="B205" s="519" t="s">
        <v>2803</v>
      </c>
      <c r="D205" s="1296" t="s">
        <v>1941</v>
      </c>
      <c r="E205" s="1296"/>
      <c r="F205" s="1296"/>
      <c r="I205" s="524" t="s">
        <v>2138</v>
      </c>
    </row>
    <row r="206" spans="1:9">
      <c r="A206" s="435"/>
      <c r="B206" s="435"/>
      <c r="D206" s="1292" t="s">
        <v>2202</v>
      </c>
      <c r="E206" s="1292"/>
      <c r="F206" s="1292"/>
      <c r="I206" s="524"/>
    </row>
    <row r="207" spans="1:9">
      <c r="A207" s="435"/>
      <c r="B207" s="435"/>
      <c r="D207" s="57" t="s">
        <v>1938</v>
      </c>
      <c r="E207" s="1344" t="s">
        <v>2227</v>
      </c>
      <c r="F207" s="1344"/>
      <c r="I207" s="524"/>
    </row>
    <row r="208" spans="1:9">
      <c r="A208" s="435"/>
      <c r="B208" s="435"/>
      <c r="D208" s="423"/>
      <c r="E208" s="423"/>
      <c r="F208" s="423"/>
      <c r="I208" s="524"/>
    </row>
    <row r="209" spans="1:9" ht="14.25" customHeight="1">
      <c r="A209" s="518"/>
      <c r="B209" s="519" t="s">
        <v>2803</v>
      </c>
      <c r="D209" s="417" t="s">
        <v>2195</v>
      </c>
      <c r="E209" s="416"/>
      <c r="F209" s="416"/>
      <c r="I209" s="524" t="s">
        <v>2139</v>
      </c>
    </row>
    <row r="210" spans="1:9" ht="14.25">
      <c r="A210" s="518"/>
      <c r="B210" s="518"/>
      <c r="D210" s="1292" t="s">
        <v>2202</v>
      </c>
      <c r="E210" s="1292"/>
      <c r="F210" s="1292"/>
      <c r="I210" s="524"/>
    </row>
    <row r="211" spans="1:9">
      <c r="D211" s="416"/>
      <c r="E211" s="1344" t="s">
        <v>2228</v>
      </c>
      <c r="F211" s="1344"/>
      <c r="I211" s="524"/>
    </row>
    <row r="212" spans="1:9">
      <c r="D212" s="481"/>
      <c r="I212" s="524"/>
    </row>
    <row r="213" spans="1:9">
      <c r="B213" s="519" t="s">
        <v>2803</v>
      </c>
      <c r="D213" s="1296" t="s">
        <v>1942</v>
      </c>
      <c r="E213" s="1296"/>
      <c r="F213" s="1296"/>
      <c r="I213" s="524" t="s">
        <v>2140</v>
      </c>
    </row>
    <row r="214" spans="1:9">
      <c r="D214" s="1292" t="s">
        <v>2202</v>
      </c>
      <c r="E214" s="1292"/>
      <c r="F214" s="1292"/>
      <c r="I214" s="524"/>
    </row>
    <row r="215" spans="1:9">
      <c r="D215" s="57" t="s">
        <v>1938</v>
      </c>
      <c r="E215" s="1344" t="s">
        <v>2229</v>
      </c>
      <c r="F215" s="1344"/>
      <c r="I215" s="524"/>
    </row>
    <row r="216" spans="1:9">
      <c r="D216" s="485"/>
      <c r="E216" s="485"/>
      <c r="F216" s="485"/>
      <c r="I216" s="524"/>
    </row>
    <row r="217" spans="1:9" ht="14.25">
      <c r="A217" s="518"/>
      <c r="B217" s="519" t="s">
        <v>2803</v>
      </c>
      <c r="D217" s="1287" t="s">
        <v>1323</v>
      </c>
      <c r="E217" s="1287"/>
      <c r="F217" s="1287"/>
      <c r="I217" s="524"/>
    </row>
    <row r="218" spans="1:9" ht="14.45" customHeight="1">
      <c r="A218" s="518"/>
      <c r="B218" s="433"/>
      <c r="D218" s="1287"/>
      <c r="E218" s="1287"/>
      <c r="F218" s="1287"/>
      <c r="I218" s="524"/>
    </row>
    <row r="219" spans="1:9" ht="14.25">
      <c r="A219" s="518"/>
      <c r="D219" s="1287"/>
      <c r="E219" s="1287"/>
      <c r="F219" s="1287"/>
      <c r="I219" s="524"/>
    </row>
    <row r="220" spans="1:9" ht="14.25">
      <c r="A220" s="518"/>
      <c r="D220" s="1287"/>
      <c r="E220" s="1287"/>
      <c r="F220" s="1287"/>
      <c r="I220" s="524"/>
    </row>
    <row r="221" spans="1:9">
      <c r="D221" s="485"/>
      <c r="E221" s="485"/>
      <c r="F221" s="485"/>
      <c r="I221" s="524"/>
    </row>
    <row r="222" spans="1:9">
      <c r="A222" s="1293" t="s">
        <v>1075</v>
      </c>
      <c r="B222" s="1293"/>
      <c r="C222" s="1293"/>
      <c r="D222" s="1293"/>
      <c r="E222" s="1293"/>
      <c r="F222" s="1293"/>
      <c r="G222" s="1293"/>
      <c r="H222" s="1063"/>
      <c r="I222" s="1256"/>
    </row>
    <row r="223" spans="1:9" ht="12" customHeight="1">
      <c r="D223" s="480"/>
      <c r="E223" s="480"/>
      <c r="F223" s="480"/>
      <c r="I223" s="524"/>
    </row>
    <row r="224" spans="1:9">
      <c r="C224" s="520"/>
      <c r="D224" s="1285" t="s">
        <v>209</v>
      </c>
      <c r="E224" s="1285"/>
      <c r="F224" s="1285"/>
      <c r="I224" s="524"/>
    </row>
    <row r="225" spans="1:9">
      <c r="A225" s="516"/>
      <c r="B225" s="516"/>
      <c r="C225" s="516"/>
      <c r="D225" s="1316" t="s">
        <v>1204</v>
      </c>
      <c r="E225" s="1316"/>
      <c r="F225" s="1316"/>
      <c r="I225" s="524"/>
    </row>
    <row r="226" spans="1:9" ht="12" customHeight="1">
      <c r="A226" s="524"/>
      <c r="B226" s="524"/>
      <c r="C226" s="524"/>
      <c r="I226" s="524"/>
    </row>
    <row r="227" spans="1:9" ht="13.7" customHeight="1">
      <c r="A227" s="524"/>
      <c r="C227" s="524"/>
      <c r="D227" s="1285" t="s">
        <v>555</v>
      </c>
      <c r="E227" s="1285"/>
      <c r="F227" s="1285"/>
      <c r="I227" s="524" t="s">
        <v>2088</v>
      </c>
    </row>
    <row r="228" spans="1:9" ht="14.25">
      <c r="A228" s="518"/>
      <c r="B228" s="519" t="s">
        <v>2802</v>
      </c>
      <c r="D228" s="1287" t="s">
        <v>1943</v>
      </c>
      <c r="E228" s="1287"/>
      <c r="F228" s="1287"/>
      <c r="I228" s="524"/>
    </row>
    <row r="229" spans="1:9" ht="14.25" customHeight="1">
      <c r="A229" s="518"/>
      <c r="B229" s="518"/>
      <c r="D229" s="1287"/>
      <c r="E229" s="1287"/>
      <c r="F229" s="1287"/>
      <c r="I229" s="524"/>
    </row>
    <row r="230" spans="1:9" ht="14.25" customHeight="1">
      <c r="A230" s="518"/>
      <c r="B230" s="518"/>
      <c r="D230" s="1287"/>
      <c r="E230" s="1287"/>
      <c r="F230" s="1287"/>
      <c r="I230" s="524"/>
    </row>
    <row r="231" spans="1:9" ht="14.25">
      <c r="A231" s="518"/>
      <c r="B231" s="518"/>
      <c r="D231" s="1287"/>
      <c r="E231" s="1287"/>
      <c r="F231" s="1287"/>
      <c r="I231" s="524"/>
    </row>
    <row r="232" spans="1:9" ht="14.25">
      <c r="A232" s="518"/>
      <c r="B232" s="518"/>
      <c r="D232" s="479"/>
      <c r="E232" s="479"/>
      <c r="F232" s="479"/>
      <c r="I232" s="524"/>
    </row>
    <row r="233" spans="1:9" ht="14.25">
      <c r="A233" s="518"/>
      <c r="B233" s="519" t="s">
        <v>2802</v>
      </c>
      <c r="D233" s="1287" t="s">
        <v>1944</v>
      </c>
      <c r="E233" s="1287"/>
      <c r="F233" s="1287"/>
      <c r="I233" s="524" t="s">
        <v>2089</v>
      </c>
    </row>
    <row r="234" spans="1:9" ht="14.25">
      <c r="A234" s="518"/>
      <c r="B234" s="518"/>
      <c r="D234" s="1287"/>
      <c r="E234" s="1287"/>
      <c r="F234" s="1287"/>
      <c r="I234" s="524"/>
    </row>
    <row r="235" spans="1:9" ht="14.25">
      <c r="A235" s="518"/>
      <c r="B235" s="518"/>
      <c r="D235" s="1287"/>
      <c r="E235" s="1287"/>
      <c r="F235" s="1287"/>
      <c r="I235" s="524"/>
    </row>
    <row r="236" spans="1:9" ht="14.25">
      <c r="A236" s="518"/>
      <c r="B236" s="518"/>
      <c r="D236" s="1287"/>
      <c r="E236" s="1287"/>
      <c r="F236" s="1287"/>
      <c r="I236" s="524"/>
    </row>
    <row r="237" spans="1:9" ht="14.25" customHeight="1">
      <c r="A237" s="518"/>
      <c r="B237" s="518"/>
      <c r="D237" s="1287"/>
      <c r="E237" s="1287"/>
      <c r="F237" s="1287"/>
      <c r="I237" s="524"/>
    </row>
    <row r="238" spans="1:9" ht="14.25" customHeight="1">
      <c r="A238" s="518"/>
      <c r="B238" s="518"/>
      <c r="D238" s="479"/>
      <c r="E238" s="479"/>
      <c r="F238" s="479"/>
      <c r="I238" s="524"/>
    </row>
    <row r="239" spans="1:9" ht="14.25">
      <c r="A239" s="518"/>
      <c r="B239" s="518"/>
      <c r="D239" s="1287" t="s">
        <v>1200</v>
      </c>
      <c r="E239" s="1287"/>
      <c r="F239" s="1287"/>
      <c r="I239" s="524" t="s">
        <v>2088</v>
      </c>
    </row>
    <row r="240" spans="1:9" ht="14.25">
      <c r="A240" s="518"/>
      <c r="B240" s="518"/>
      <c r="D240" s="1287"/>
      <c r="E240" s="1287"/>
      <c r="F240" s="1287"/>
      <c r="I240" s="524"/>
    </row>
    <row r="241" spans="1:9" ht="14.25">
      <c r="A241" s="518"/>
      <c r="B241" s="518"/>
      <c r="D241" s="1287"/>
      <c r="E241" s="1287"/>
      <c r="F241" s="1287"/>
      <c r="I241" s="524"/>
    </row>
    <row r="242" spans="1:9" ht="14.25">
      <c r="A242" s="518"/>
      <c r="B242" s="518"/>
      <c r="D242" s="1287"/>
      <c r="E242" s="1287"/>
      <c r="F242" s="1287"/>
      <c r="I242" s="524"/>
    </row>
    <row r="243" spans="1:9" ht="14.25">
      <c r="A243" s="518"/>
      <c r="B243" s="518"/>
      <c r="D243" s="1287"/>
      <c r="E243" s="1287"/>
      <c r="F243" s="1287"/>
      <c r="I243" s="524"/>
    </row>
    <row r="244" spans="1:9" ht="14.25">
      <c r="A244" s="518"/>
      <c r="B244" s="518"/>
      <c r="D244" s="480"/>
      <c r="E244" s="480"/>
      <c r="F244" s="480"/>
      <c r="I244" s="524"/>
    </row>
    <row r="245" spans="1:9" ht="14.25">
      <c r="A245" s="518"/>
      <c r="B245" s="519" t="s">
        <v>2802</v>
      </c>
      <c r="D245" s="1287" t="s">
        <v>2367</v>
      </c>
      <c r="E245" s="1287"/>
      <c r="F245" s="1287"/>
      <c r="I245" s="524" t="s">
        <v>2127</v>
      </c>
    </row>
    <row r="246" spans="1:9" ht="14.25">
      <c r="A246" s="518"/>
      <c r="B246" s="518"/>
      <c r="D246" s="1287"/>
      <c r="E246" s="1287"/>
      <c r="F246" s="1287"/>
      <c r="I246" s="524"/>
    </row>
    <row r="247" spans="1:9" ht="14.25">
      <c r="A247" s="518"/>
      <c r="B247" s="518"/>
      <c r="D247" s="1287"/>
      <c r="E247" s="1287"/>
      <c r="F247" s="1287"/>
      <c r="I247" s="524"/>
    </row>
    <row r="248" spans="1:9" ht="14.25">
      <c r="A248" s="518"/>
      <c r="B248" s="518"/>
      <c r="E248" s="1071" t="s">
        <v>2196</v>
      </c>
      <c r="I248" s="524"/>
    </row>
    <row r="249" spans="1:9" ht="14.25">
      <c r="A249" s="518"/>
      <c r="B249" s="518"/>
      <c r="D249" s="480"/>
      <c r="E249" s="480"/>
      <c r="F249" s="480"/>
      <c r="I249" s="524"/>
    </row>
    <row r="250" spans="1:9" ht="14.45" customHeight="1">
      <c r="A250" s="518"/>
      <c r="B250" s="519" t="s">
        <v>2802</v>
      </c>
      <c r="D250" s="1287" t="s">
        <v>2368</v>
      </c>
      <c r="E250" s="1287"/>
      <c r="F250" s="1287"/>
      <c r="I250" s="524" t="s">
        <v>2145</v>
      </c>
    </row>
    <row r="251" spans="1:9" ht="14.25">
      <c r="A251" s="518"/>
      <c r="B251" s="518"/>
      <c r="D251" s="1287"/>
      <c r="E251" s="1287"/>
      <c r="F251" s="1287"/>
      <c r="I251" s="524"/>
    </row>
    <row r="252" spans="1:9" ht="14.25">
      <c r="A252" s="518"/>
      <c r="B252" s="518"/>
      <c r="D252" s="1287"/>
      <c r="E252" s="1287"/>
      <c r="F252" s="1287"/>
      <c r="I252" s="524"/>
    </row>
    <row r="253" spans="1:9" ht="14.25">
      <c r="A253" s="518"/>
      <c r="B253" s="518"/>
      <c r="D253" s="1287"/>
      <c r="E253" s="1287"/>
      <c r="F253" s="1287"/>
      <c r="I253" s="524"/>
    </row>
    <row r="254" spans="1:9" ht="14.25">
      <c r="A254" s="518"/>
      <c r="B254" s="518"/>
      <c r="D254" s="1287"/>
      <c r="E254" s="1287"/>
      <c r="F254" s="1287"/>
      <c r="I254" s="524"/>
    </row>
    <row r="255" spans="1:9" ht="14.25">
      <c r="A255" s="518"/>
      <c r="B255" s="518"/>
      <c r="D255" s="479"/>
      <c r="E255" s="479"/>
      <c r="F255" s="479"/>
      <c r="I255" s="524"/>
    </row>
    <row r="256" spans="1:9" ht="14.25">
      <c r="A256" s="518"/>
      <c r="B256" s="519" t="s">
        <v>2802</v>
      </c>
      <c r="D256" s="423" t="s">
        <v>2369</v>
      </c>
      <c r="E256" s="479"/>
      <c r="F256" s="479"/>
      <c r="I256" s="524" t="s">
        <v>2126</v>
      </c>
    </row>
    <row r="257" spans="1:9" ht="14.25">
      <c r="A257" s="518"/>
      <c r="B257" s="518"/>
      <c r="E257" s="1071" t="s">
        <v>2197</v>
      </c>
      <c r="I257" s="524"/>
    </row>
    <row r="258" spans="1:9">
      <c r="D258" s="480"/>
      <c r="E258" s="480"/>
      <c r="F258" s="480"/>
      <c r="I258" s="524"/>
    </row>
    <row r="259" spans="1:9" ht="14.25">
      <c r="A259" s="518"/>
      <c r="B259" s="519" t="s">
        <v>2802</v>
      </c>
      <c r="D259" s="1287" t="s">
        <v>1202</v>
      </c>
      <c r="E259" s="1287"/>
      <c r="F259" s="1287"/>
      <c r="I259" s="524"/>
    </row>
    <row r="260" spans="1:9" ht="14.25">
      <c r="A260" s="518"/>
      <c r="B260" s="518"/>
      <c r="D260" s="1287"/>
      <c r="E260" s="1287"/>
      <c r="F260" s="1287"/>
      <c r="I260" s="524"/>
    </row>
    <row r="261" spans="1:9">
      <c r="D261" s="525"/>
      <c r="I261" s="524"/>
    </row>
    <row r="262" spans="1:9">
      <c r="A262" s="1293" t="s">
        <v>1076</v>
      </c>
      <c r="B262" s="1293"/>
      <c r="C262" s="1293"/>
      <c r="D262" s="1293"/>
      <c r="E262" s="1293"/>
      <c r="F262" s="1293"/>
      <c r="G262" s="1293"/>
      <c r="H262" s="1063"/>
      <c r="I262" s="1256"/>
    </row>
    <row r="263" spans="1:9">
      <c r="D263" s="525"/>
      <c r="I263" s="524"/>
    </row>
    <row r="264" spans="1:9">
      <c r="C264" s="520"/>
      <c r="D264" s="1285" t="s">
        <v>1205</v>
      </c>
      <c r="E264" s="1285"/>
      <c r="F264" s="1285"/>
      <c r="I264" s="524"/>
    </row>
    <row r="265" spans="1:9">
      <c r="A265" s="516"/>
      <c r="B265" s="516"/>
      <c r="C265" s="516"/>
      <c r="D265" s="480"/>
      <c r="E265" s="480"/>
      <c r="F265" s="480"/>
      <c r="I265" s="524"/>
    </row>
    <row r="266" spans="1:9">
      <c r="A266" s="517"/>
      <c r="B266" s="517"/>
      <c r="C266" s="517"/>
      <c r="D266" s="1285" t="s">
        <v>270</v>
      </c>
      <c r="E266" s="1285"/>
      <c r="F266" s="1285"/>
      <c r="I266" s="524" t="s">
        <v>2128</v>
      </c>
    </row>
    <row r="267" spans="1:9" ht="14.45" customHeight="1">
      <c r="A267" s="518"/>
      <c r="B267" s="519" t="s">
        <v>2802</v>
      </c>
      <c r="D267" s="1287" t="s">
        <v>1303</v>
      </c>
      <c r="E267" s="1287"/>
      <c r="F267" s="1287"/>
      <c r="I267" s="524"/>
    </row>
    <row r="268" spans="1:9">
      <c r="D268" s="1287"/>
      <c r="E268" s="1287"/>
      <c r="F268" s="1287"/>
      <c r="I268" s="524"/>
    </row>
    <row r="269" spans="1:9">
      <c r="E269" s="1071" t="s">
        <v>2198</v>
      </c>
      <c r="I269" s="524"/>
    </row>
    <row r="270" spans="1:9">
      <c r="D270" s="480"/>
      <c r="E270" s="480"/>
      <c r="F270" s="480"/>
      <c r="I270" s="524"/>
    </row>
    <row r="271" spans="1:9" ht="14.45" customHeight="1">
      <c r="A271" s="518"/>
      <c r="B271" s="519" t="s">
        <v>2802</v>
      </c>
      <c r="D271" s="1287" t="s">
        <v>2370</v>
      </c>
      <c r="E271" s="1287"/>
      <c r="F271" s="1287"/>
      <c r="I271" s="524" t="s">
        <v>2146</v>
      </c>
    </row>
    <row r="272" spans="1:9">
      <c r="D272" s="1287"/>
      <c r="E272" s="1287"/>
      <c r="F272" s="1287"/>
      <c r="I272" s="524"/>
    </row>
    <row r="273" spans="1:9">
      <c r="D273" s="1287"/>
      <c r="E273" s="1287"/>
      <c r="F273" s="1287"/>
      <c r="I273" s="524"/>
    </row>
    <row r="274" spans="1:9">
      <c r="D274" s="1287"/>
      <c r="E274" s="1287"/>
      <c r="F274" s="1287"/>
      <c r="I274" s="524"/>
    </row>
    <row r="275" spans="1:9">
      <c r="D275" s="1287"/>
      <c r="E275" s="1287"/>
      <c r="F275" s="1287"/>
      <c r="I275" s="524"/>
    </row>
    <row r="276" spans="1:9">
      <c r="D276" s="1287"/>
      <c r="E276" s="1287"/>
      <c r="F276" s="1287"/>
      <c r="I276" s="524"/>
    </row>
    <row r="277" spans="1:9">
      <c r="D277" s="480"/>
      <c r="E277" s="480"/>
      <c r="F277" s="480"/>
      <c r="I277" s="524"/>
    </row>
    <row r="278" spans="1:9" ht="14.25">
      <c r="A278" s="518"/>
      <c r="B278" s="519" t="s">
        <v>2803</v>
      </c>
      <c r="D278" s="1287" t="s">
        <v>1208</v>
      </c>
      <c r="E278" s="1287"/>
      <c r="F278" s="1287"/>
      <c r="I278" s="524"/>
    </row>
    <row r="279" spans="1:9">
      <c r="D279" s="1287"/>
      <c r="E279" s="1287"/>
      <c r="F279" s="1287"/>
      <c r="I279" s="524"/>
    </row>
    <row r="280" spans="1:9">
      <c r="D280" s="1287"/>
      <c r="E280" s="1287"/>
      <c r="F280" s="1287"/>
      <c r="I280" s="524"/>
    </row>
    <row r="281" spans="1:9">
      <c r="D281" s="526"/>
      <c r="E281" s="480"/>
      <c r="F281" s="480"/>
      <c r="I281" s="524"/>
    </row>
    <row r="282" spans="1:9">
      <c r="A282" s="1293" t="s">
        <v>1077</v>
      </c>
      <c r="B282" s="1293"/>
      <c r="C282" s="1293"/>
      <c r="D282" s="1293"/>
      <c r="E282" s="1293"/>
      <c r="F282" s="1293"/>
      <c r="G282" s="1293"/>
      <c r="H282" s="1063"/>
      <c r="I282" s="1256"/>
    </row>
    <row r="283" spans="1:9">
      <c r="D283" s="526"/>
      <c r="E283" s="480"/>
      <c r="F283" s="480"/>
      <c r="I283" s="524"/>
    </row>
    <row r="284" spans="1:9">
      <c r="C284" s="516"/>
      <c r="D284" s="1315" t="s">
        <v>1210</v>
      </c>
      <c r="E284" s="1315"/>
      <c r="F284" s="1315"/>
      <c r="I284" s="524"/>
    </row>
    <row r="285" spans="1:9">
      <c r="C285" s="516"/>
      <c r="D285" s="1315"/>
      <c r="E285" s="1315"/>
      <c r="F285" s="1315"/>
      <c r="I285" s="524"/>
    </row>
    <row r="286" spans="1:9">
      <c r="A286" s="517"/>
      <c r="B286" s="517"/>
      <c r="C286" s="517"/>
      <c r="D286" s="435"/>
      <c r="I286" s="524"/>
    </row>
    <row r="287" spans="1:9">
      <c r="C287" s="517"/>
      <c r="D287" s="1285" t="s">
        <v>210</v>
      </c>
      <c r="E287" s="1285"/>
      <c r="F287" s="1285"/>
      <c r="I287" s="524"/>
    </row>
    <row r="288" spans="1:9" ht="15.75" customHeight="1">
      <c r="A288" s="518"/>
      <c r="B288" s="518"/>
      <c r="D288" s="1340" t="s">
        <v>1211</v>
      </c>
      <c r="E288" s="1340"/>
      <c r="F288" s="1340"/>
      <c r="I288" s="524"/>
    </row>
    <row r="289" spans="1:9">
      <c r="E289" s="480"/>
      <c r="F289" s="480"/>
      <c r="I289" s="524"/>
    </row>
    <row r="290" spans="1:9" ht="14.25">
      <c r="A290" s="518"/>
      <c r="B290" s="519" t="s">
        <v>2803</v>
      </c>
      <c r="D290" s="1287" t="s">
        <v>1212</v>
      </c>
      <c r="E290" s="1287"/>
      <c r="F290" s="1287"/>
      <c r="I290" s="524" t="s">
        <v>2090</v>
      </c>
    </row>
    <row r="291" spans="1:9" ht="14.25">
      <c r="A291" s="518"/>
      <c r="B291" s="518"/>
      <c r="D291" s="1287"/>
      <c r="E291" s="1287"/>
      <c r="F291" s="1287"/>
      <c r="I291" s="524"/>
    </row>
    <row r="292" spans="1:9">
      <c r="D292" s="480"/>
      <c r="E292" s="480"/>
      <c r="F292" s="480"/>
      <c r="I292" s="524"/>
    </row>
    <row r="293" spans="1:9" ht="14.25">
      <c r="A293" s="518"/>
      <c r="B293" s="519" t="s">
        <v>2803</v>
      </c>
      <c r="D293" s="1287" t="s">
        <v>1213</v>
      </c>
      <c r="E293" s="1287"/>
      <c r="F293" s="1287"/>
      <c r="I293" s="524" t="s">
        <v>2090</v>
      </c>
    </row>
    <row r="294" spans="1:9" ht="14.25">
      <c r="A294" s="518"/>
      <c r="B294" s="518"/>
      <c r="D294" s="1287"/>
      <c r="E294" s="1287"/>
      <c r="F294" s="1287"/>
      <c r="I294" s="524"/>
    </row>
    <row r="295" spans="1:9" ht="14.25">
      <c r="A295" s="518"/>
      <c r="B295" s="518"/>
      <c r="D295" s="1287"/>
      <c r="E295" s="1287"/>
      <c r="F295" s="1287"/>
      <c r="I295" s="524"/>
    </row>
    <row r="296" spans="1:9">
      <c r="D296" s="480"/>
      <c r="E296" s="480"/>
      <c r="F296" s="480"/>
      <c r="I296" s="524"/>
    </row>
    <row r="297" spans="1:9" ht="14.25">
      <c r="A297" s="518"/>
      <c r="B297" s="519" t="s">
        <v>2803</v>
      </c>
      <c r="D297" s="1287" t="s">
        <v>1214</v>
      </c>
      <c r="E297" s="1287"/>
      <c r="F297" s="1287"/>
      <c r="I297" s="524" t="s">
        <v>2090</v>
      </c>
    </row>
    <row r="298" spans="1:9" ht="14.25">
      <c r="A298" s="518"/>
      <c r="B298" s="518"/>
      <c r="D298" s="1287"/>
      <c r="E298" s="1287"/>
      <c r="F298" s="1287"/>
      <c r="I298" s="524"/>
    </row>
    <row r="299" spans="1:9">
      <c r="A299" s="524"/>
      <c r="B299" s="524"/>
      <c r="E299" s="480"/>
      <c r="F299" s="480"/>
      <c r="I299" s="524"/>
    </row>
    <row r="300" spans="1:9">
      <c r="A300" s="1293" t="s">
        <v>1078</v>
      </c>
      <c r="B300" s="1293"/>
      <c r="C300" s="1293"/>
      <c r="D300" s="1293"/>
      <c r="E300" s="1293"/>
      <c r="F300" s="1293"/>
      <c r="G300" s="1293"/>
      <c r="H300" s="1063"/>
      <c r="I300" s="1256"/>
    </row>
    <row r="301" spans="1:9">
      <c r="A301" s="524"/>
      <c r="B301" s="524"/>
      <c r="D301" s="480"/>
      <c r="E301" s="480"/>
      <c r="F301" s="480"/>
      <c r="I301" s="524"/>
    </row>
    <row r="302" spans="1:9">
      <c r="C302" s="524"/>
      <c r="D302" s="1285" t="s">
        <v>691</v>
      </c>
      <c r="E302" s="1285"/>
      <c r="F302" s="1285"/>
      <c r="I302" s="524"/>
    </row>
    <row r="303" spans="1:9">
      <c r="C303" s="524"/>
      <c r="D303" s="1316" t="s">
        <v>1215</v>
      </c>
      <c r="E303" s="1316"/>
      <c r="F303" s="1316"/>
      <c r="I303" s="524"/>
    </row>
    <row r="304" spans="1:9">
      <c r="C304" s="524"/>
      <c r="D304" s="527"/>
      <c r="I304" s="524"/>
    </row>
    <row r="305" spans="1:9">
      <c r="B305" s="519" t="s">
        <v>2803</v>
      </c>
      <c r="D305" s="1316" t="s">
        <v>1216</v>
      </c>
      <c r="E305" s="1316"/>
      <c r="F305" s="1316"/>
      <c r="I305" s="524" t="s">
        <v>2091</v>
      </c>
    </row>
    <row r="306" spans="1:9" ht="14.25">
      <c r="A306" s="518"/>
      <c r="B306" s="518"/>
      <c r="D306" s="528"/>
      <c r="E306" s="529"/>
      <c r="F306" s="529"/>
      <c r="I306" s="524"/>
    </row>
    <row r="307" spans="1:9" ht="13.7" customHeight="1">
      <c r="B307" s="519" t="s">
        <v>2803</v>
      </c>
      <c r="D307" s="1337" t="s">
        <v>1326</v>
      </c>
      <c r="E307" s="1337"/>
      <c r="F307" s="1337"/>
      <c r="I307" s="524" t="s">
        <v>2091</v>
      </c>
    </row>
    <row r="308" spans="1:9" ht="14.25">
      <c r="A308" s="518"/>
      <c r="B308" s="518"/>
      <c r="D308" s="1337"/>
      <c r="E308" s="1337"/>
      <c r="F308" s="1337"/>
      <c r="I308" s="524"/>
    </row>
    <row r="309" spans="1:9" ht="14.25">
      <c r="A309" s="518"/>
      <c r="B309" s="518"/>
      <c r="D309" s="1337"/>
      <c r="E309" s="1337"/>
      <c r="F309" s="1337"/>
      <c r="I309" s="524"/>
    </row>
    <row r="310" spans="1:9" ht="14.25">
      <c r="A310" s="518"/>
      <c r="B310" s="518"/>
      <c r="D310" s="1337"/>
      <c r="E310" s="1337"/>
      <c r="F310" s="1337"/>
      <c r="I310" s="524"/>
    </row>
    <row r="311" spans="1:9" ht="14.25">
      <c r="A311" s="518"/>
      <c r="B311" s="518"/>
      <c r="D311" s="1337"/>
      <c r="E311" s="1337"/>
      <c r="F311" s="1337"/>
      <c r="I311" s="524"/>
    </row>
    <row r="312" spans="1:9" ht="14.25">
      <c r="A312" s="518"/>
      <c r="B312" s="518"/>
      <c r="D312" s="528"/>
      <c r="E312" s="529"/>
      <c r="F312" s="529"/>
      <c r="I312" s="524"/>
    </row>
    <row r="313" spans="1:9" ht="13.7" customHeight="1">
      <c r="B313" s="519" t="s">
        <v>2803</v>
      </c>
      <c r="D313" s="1337" t="s">
        <v>1218</v>
      </c>
      <c r="E313" s="1337"/>
      <c r="F313" s="1337"/>
      <c r="I313" s="524" t="s">
        <v>2091</v>
      </c>
    </row>
    <row r="314" spans="1:9">
      <c r="D314" s="1337"/>
      <c r="E314" s="1337"/>
      <c r="F314" s="1337"/>
      <c r="I314" s="524"/>
    </row>
    <row r="315" spans="1:9" ht="14.25">
      <c r="A315" s="518"/>
      <c r="B315" s="518"/>
      <c r="D315" s="528"/>
      <c r="E315" s="529"/>
      <c r="F315" s="529"/>
      <c r="I315" s="524"/>
    </row>
    <row r="316" spans="1:9">
      <c r="B316" s="519" t="s">
        <v>2803</v>
      </c>
      <c r="D316" s="1316" t="s">
        <v>1219</v>
      </c>
      <c r="E316" s="1316"/>
      <c r="F316" s="1316"/>
      <c r="I316" s="524" t="s">
        <v>2077</v>
      </c>
    </row>
    <row r="317" spans="1:9">
      <c r="E317" s="480"/>
      <c r="F317" s="480"/>
      <c r="I317" s="524"/>
    </row>
    <row r="318" spans="1:9" ht="14.25">
      <c r="A318" s="518"/>
      <c r="B318" s="519" t="s">
        <v>2803</v>
      </c>
      <c r="D318" s="1287" t="s">
        <v>2389</v>
      </c>
      <c r="E318" s="1287"/>
      <c r="F318" s="1287"/>
      <c r="I318" s="524" t="s">
        <v>2092</v>
      </c>
    </row>
    <row r="319" spans="1:9" ht="14.25">
      <c r="A319" s="518"/>
      <c r="B319" s="518"/>
      <c r="D319" s="1287"/>
      <c r="E319" s="1287"/>
      <c r="F319" s="1287"/>
      <c r="I319" s="524"/>
    </row>
    <row r="320" spans="1:9" ht="14.25">
      <c r="A320" s="518"/>
      <c r="B320" s="518"/>
      <c r="D320" s="1287"/>
      <c r="E320" s="1287"/>
      <c r="F320" s="1287"/>
      <c r="I320" s="524"/>
    </row>
    <row r="321" spans="1:9" ht="14.25">
      <c r="A321" s="518"/>
      <c r="B321" s="518"/>
      <c r="D321" s="1287"/>
      <c r="E321" s="1287"/>
      <c r="F321" s="1287"/>
      <c r="I321" s="524"/>
    </row>
    <row r="322" spans="1:9" ht="14.25">
      <c r="A322" s="518"/>
      <c r="B322" s="518"/>
      <c r="D322" s="1287"/>
      <c r="E322" s="1287"/>
      <c r="F322" s="1287"/>
      <c r="I322" s="524"/>
    </row>
    <row r="323" spans="1:9" ht="14.25">
      <c r="A323" s="518"/>
      <c r="B323" s="518"/>
      <c r="D323" s="1287"/>
      <c r="E323" s="1287"/>
      <c r="F323" s="1287"/>
      <c r="I323" s="524"/>
    </row>
    <row r="324" spans="1:9" ht="14.25">
      <c r="A324" s="518"/>
      <c r="B324" s="518"/>
      <c r="D324" s="1287"/>
      <c r="E324" s="1287"/>
      <c r="F324" s="1287"/>
      <c r="I324" s="524"/>
    </row>
    <row r="325" spans="1:9" ht="14.25">
      <c r="A325" s="518"/>
      <c r="B325" s="518"/>
      <c r="D325" s="1287"/>
      <c r="E325" s="1287"/>
      <c r="F325" s="1287"/>
      <c r="I325" s="524"/>
    </row>
    <row r="326" spans="1:9" ht="14.25">
      <c r="A326" s="518"/>
      <c r="B326" s="518"/>
      <c r="D326" s="1287"/>
      <c r="E326" s="1287"/>
      <c r="F326" s="1287"/>
      <c r="I326" s="524"/>
    </row>
    <row r="327" spans="1:9" ht="14.25">
      <c r="A327" s="518"/>
      <c r="B327" s="518"/>
      <c r="D327" s="1287"/>
      <c r="E327" s="1287"/>
      <c r="F327" s="1287"/>
      <c r="I327" s="524"/>
    </row>
    <row r="328" spans="1:9" ht="14.25">
      <c r="A328" s="518"/>
      <c r="B328" s="518"/>
      <c r="D328" s="1287"/>
      <c r="E328" s="1287"/>
      <c r="F328" s="1287"/>
      <c r="I328" s="524"/>
    </row>
    <row r="329" spans="1:9" ht="14.25">
      <c r="A329" s="518"/>
      <c r="B329" s="518"/>
      <c r="D329" s="1287"/>
      <c r="E329" s="1287"/>
      <c r="F329" s="1287"/>
      <c r="I329" s="524"/>
    </row>
    <row r="330" spans="1:9" ht="14.25">
      <c r="A330" s="518"/>
      <c r="B330" s="518"/>
      <c r="D330" s="1287"/>
      <c r="E330" s="1287"/>
      <c r="F330" s="1287"/>
      <c r="I330" s="524"/>
    </row>
    <row r="331" spans="1:9" ht="14.25">
      <c r="A331" s="518"/>
      <c r="B331" s="518"/>
      <c r="D331" s="1287"/>
      <c r="E331" s="1287"/>
      <c r="F331" s="1287"/>
      <c r="I331" s="524"/>
    </row>
    <row r="332" spans="1:9" ht="14.25">
      <c r="A332" s="518"/>
      <c r="B332" s="518"/>
      <c r="D332" s="1287"/>
      <c r="E332" s="1287"/>
      <c r="F332" s="1287"/>
      <c r="I332" s="524"/>
    </row>
    <row r="333" spans="1:9">
      <c r="D333" s="480"/>
      <c r="E333" s="480"/>
      <c r="F333" s="480"/>
      <c r="I333" s="524"/>
    </row>
    <row r="334" spans="1:9" ht="14.25">
      <c r="A334" s="518"/>
      <c r="B334" s="519" t="s">
        <v>2803</v>
      </c>
      <c r="D334" s="1287" t="s">
        <v>1221</v>
      </c>
      <c r="E334" s="1287"/>
      <c r="F334" s="1287"/>
      <c r="I334" s="524" t="s">
        <v>2092</v>
      </c>
    </row>
    <row r="335" spans="1:9">
      <c r="D335" s="1287"/>
      <c r="E335" s="1287"/>
      <c r="F335" s="1287"/>
      <c r="I335" s="524"/>
    </row>
    <row r="336" spans="1:9">
      <c r="D336" s="1287"/>
      <c r="E336" s="1287"/>
      <c r="F336" s="1287"/>
      <c r="I336" s="524"/>
    </row>
    <row r="337" spans="1:9">
      <c r="D337" s="1287"/>
      <c r="E337" s="1287"/>
      <c r="F337" s="1287"/>
      <c r="I337" s="524"/>
    </row>
    <row r="338" spans="1:9">
      <c r="D338" s="1287"/>
      <c r="E338" s="1287"/>
      <c r="F338" s="1287"/>
      <c r="I338" s="524"/>
    </row>
    <row r="339" spans="1:9">
      <c r="D339" s="1287"/>
      <c r="E339" s="1287"/>
      <c r="F339" s="1287"/>
      <c r="I339" s="524"/>
    </row>
    <row r="340" spans="1:9">
      <c r="D340" s="1287"/>
      <c r="E340" s="1287"/>
      <c r="F340" s="1287"/>
      <c r="I340" s="524"/>
    </row>
    <row r="341" spans="1:9">
      <c r="D341" s="1287"/>
      <c r="E341" s="1287"/>
      <c r="F341" s="1287"/>
      <c r="I341" s="524"/>
    </row>
    <row r="342" spans="1:9">
      <c r="D342" s="1287"/>
      <c r="E342" s="1287"/>
      <c r="F342" s="1287"/>
      <c r="I342" s="524"/>
    </row>
    <row r="343" spans="1:9">
      <c r="D343" s="480"/>
      <c r="E343" s="480"/>
      <c r="F343" s="480"/>
      <c r="I343" s="524"/>
    </row>
    <row r="344" spans="1:9" ht="14.25" customHeight="1">
      <c r="A344" s="518"/>
      <c r="B344" s="519" t="s">
        <v>2803</v>
      </c>
      <c r="D344" s="1287" t="s">
        <v>2203</v>
      </c>
      <c r="E344" s="1287"/>
      <c r="F344" s="1287"/>
      <c r="I344" s="524" t="s">
        <v>2129</v>
      </c>
    </row>
    <row r="345" spans="1:9">
      <c r="D345" s="1287"/>
      <c r="E345" s="1287"/>
      <c r="F345" s="1287"/>
      <c r="I345" s="524"/>
    </row>
    <row r="346" spans="1:9">
      <c r="D346" s="1287"/>
      <c r="E346" s="1287"/>
      <c r="F346" s="1287"/>
      <c r="I346" s="524"/>
    </row>
    <row r="347" spans="1:9">
      <c r="D347" s="1287"/>
      <c r="E347" s="1287"/>
      <c r="F347" s="1287"/>
      <c r="I347" s="524"/>
    </row>
    <row r="348" spans="1:9">
      <c r="D348" s="417" t="s">
        <v>2202</v>
      </c>
      <c r="E348" s="416"/>
      <c r="F348" s="416"/>
      <c r="I348" s="524"/>
    </row>
    <row r="349" spans="1:9">
      <c r="D349" s="416"/>
      <c r="E349" s="96" t="s">
        <v>2199</v>
      </c>
      <c r="G349" s="96"/>
      <c r="I349" s="524"/>
    </row>
    <row r="350" spans="1:9">
      <c r="D350" s="479"/>
      <c r="E350" s="479"/>
      <c r="F350" s="479"/>
      <c r="I350" s="524"/>
    </row>
    <row r="351" spans="1:9" ht="13.5" thickBot="1">
      <c r="A351" s="1057"/>
      <c r="B351" s="1057"/>
      <c r="C351" s="1057"/>
      <c r="D351" s="1342" t="s">
        <v>999</v>
      </c>
      <c r="E351" s="1342"/>
      <c r="F351" s="1342"/>
      <c r="G351" s="1062"/>
      <c r="H351" s="1062"/>
      <c r="I351" s="1259"/>
    </row>
    <row r="352" spans="1:9" ht="13.5" thickTop="1">
      <c r="D352" s="1338" t="s">
        <v>1223</v>
      </c>
      <c r="E352" s="1338"/>
      <c r="F352" s="1338"/>
      <c r="I352" s="524"/>
    </row>
    <row r="353" spans="1:9">
      <c r="D353" s="480"/>
      <c r="E353" s="480"/>
      <c r="F353" s="480"/>
      <c r="I353" s="524"/>
    </row>
    <row r="354" spans="1:9">
      <c r="A354" s="510"/>
      <c r="B354" s="510"/>
      <c r="C354" s="510"/>
      <c r="D354" s="481"/>
      <c r="E354" s="481"/>
      <c r="F354" s="480"/>
      <c r="I354" s="524" t="s">
        <v>2093</v>
      </c>
    </row>
    <row r="355" spans="1:9" ht="14.25">
      <c r="A355" s="518"/>
      <c r="B355" s="519" t="s">
        <v>2803</v>
      </c>
      <c r="C355" s="521"/>
      <c r="D355" s="1316" t="s">
        <v>2201</v>
      </c>
      <c r="E355" s="1316"/>
      <c r="F355" s="1316"/>
      <c r="I355" s="1334" t="s">
        <v>2143</v>
      </c>
    </row>
    <row r="356" spans="1:9" ht="12.75" customHeight="1">
      <c r="D356" s="1072"/>
      <c r="E356" s="96" t="s">
        <v>2200</v>
      </c>
      <c r="F356" s="1072"/>
      <c r="I356" s="1335"/>
    </row>
    <row r="357" spans="1:9">
      <c r="D357" s="1287" t="s">
        <v>1347</v>
      </c>
      <c r="E357" s="1287"/>
      <c r="F357" s="1287"/>
      <c r="I357" s="1335"/>
    </row>
    <row r="358" spans="1:9">
      <c r="D358" s="1287"/>
      <c r="E358" s="1287"/>
      <c r="F358" s="1287"/>
      <c r="I358" s="1335"/>
    </row>
    <row r="359" spans="1:9">
      <c r="D359" s="1287"/>
      <c r="E359" s="1287"/>
      <c r="F359" s="1287"/>
      <c r="I359" s="1336"/>
    </row>
    <row r="360" spans="1:9" ht="14.25">
      <c r="A360" s="518"/>
      <c r="B360" s="519" t="s">
        <v>2803</v>
      </c>
      <c r="C360" s="510"/>
      <c r="D360" s="1320" t="s">
        <v>2371</v>
      </c>
      <c r="E360" s="1320"/>
      <c r="F360" s="1320"/>
      <c r="I360" s="514"/>
    </row>
    <row r="361" spans="1:9">
      <c r="A361" s="510"/>
      <c r="B361" s="510"/>
      <c r="C361" s="510"/>
      <c r="D361" s="481"/>
      <c r="E361" s="481"/>
      <c r="F361" s="480"/>
      <c r="I361" s="524"/>
    </row>
    <row r="362" spans="1:9">
      <c r="A362" s="510"/>
      <c r="B362" s="519" t="s">
        <v>2803</v>
      </c>
      <c r="C362" s="510"/>
      <c r="D362" s="1275" t="s">
        <v>2372</v>
      </c>
      <c r="E362" s="1275"/>
      <c r="F362" s="1275"/>
      <c r="I362" s="524"/>
    </row>
    <row r="363" spans="1:9">
      <c r="A363" s="510"/>
      <c r="B363" s="510"/>
      <c r="C363" s="510"/>
      <c r="D363" s="1275"/>
      <c r="E363" s="1275"/>
      <c r="F363" s="1275"/>
      <c r="I363" s="524"/>
    </row>
    <row r="364" spans="1:9">
      <c r="A364" s="510"/>
      <c r="B364" s="510"/>
      <c r="C364" s="510"/>
      <c r="D364" s="1275"/>
      <c r="E364" s="1275"/>
      <c r="F364" s="1275"/>
      <c r="I364" s="524"/>
    </row>
    <row r="365" spans="1:9">
      <c r="A365" s="510"/>
      <c r="B365" s="510"/>
      <c r="C365" s="510"/>
      <c r="D365" s="1275"/>
      <c r="E365" s="1275"/>
      <c r="F365" s="1275"/>
      <c r="I365" s="524"/>
    </row>
    <row r="366" spans="1:9">
      <c r="A366" s="510"/>
      <c r="B366" s="510"/>
      <c r="C366" s="510"/>
      <c r="D366" s="1275"/>
      <c r="E366" s="1275"/>
      <c r="F366" s="1275"/>
      <c r="I366" s="524"/>
    </row>
    <row r="367" spans="1:9">
      <c r="A367" s="510"/>
      <c r="B367" s="510"/>
      <c r="C367" s="510"/>
      <c r="D367" s="1275"/>
      <c r="E367" s="1275"/>
      <c r="F367" s="1275"/>
      <c r="I367" s="524"/>
    </row>
    <row r="368" spans="1:9">
      <c r="A368" s="510"/>
      <c r="B368" s="510"/>
      <c r="C368" s="510"/>
      <c r="D368" s="1275"/>
      <c r="E368" s="1275"/>
      <c r="F368" s="1275"/>
      <c r="I368" s="524"/>
    </row>
    <row r="369" spans="1:9">
      <c r="A369" s="510"/>
      <c r="B369" s="510"/>
      <c r="C369" s="510"/>
      <c r="D369" s="1275"/>
      <c r="E369" s="1275"/>
      <c r="F369" s="1275"/>
      <c r="I369" s="524"/>
    </row>
    <row r="370" spans="1:9">
      <c r="A370" s="510"/>
      <c r="B370" s="510"/>
      <c r="C370" s="510"/>
      <c r="D370" s="1275"/>
      <c r="E370" s="1275"/>
      <c r="F370" s="1275"/>
      <c r="I370" s="524"/>
    </row>
    <row r="371" spans="1:9">
      <c r="A371" s="510"/>
      <c r="B371" s="510"/>
      <c r="C371" s="510"/>
      <c r="D371" s="1275"/>
      <c r="E371" s="1275"/>
      <c r="F371" s="1275"/>
      <c r="I371" s="524"/>
    </row>
    <row r="372" spans="1:9">
      <c r="A372" s="510"/>
      <c r="B372" s="510"/>
      <c r="C372" s="510"/>
      <c r="D372" s="1275"/>
      <c r="E372" s="1275"/>
      <c r="F372" s="1275"/>
      <c r="I372" s="524"/>
    </row>
    <row r="373" spans="1:9">
      <c r="A373" s="510"/>
      <c r="B373" s="510"/>
      <c r="C373" s="510"/>
      <c r="D373" s="1275"/>
      <c r="E373" s="1275"/>
      <c r="F373" s="1275"/>
      <c r="I373" s="524"/>
    </row>
    <row r="374" spans="1:9">
      <c r="A374" s="510"/>
      <c r="B374" s="510"/>
      <c r="C374" s="510"/>
      <c r="D374" s="485"/>
      <c r="E374" s="485"/>
      <c r="F374" s="485"/>
      <c r="I374" s="524"/>
    </row>
    <row r="375" spans="1:9" ht="12.4" customHeight="1">
      <c r="A375" s="510"/>
      <c r="B375" s="519" t="s">
        <v>2803</v>
      </c>
      <c r="C375" s="510"/>
      <c r="D375" s="1331" t="s">
        <v>1328</v>
      </c>
      <c r="E375" s="1331"/>
      <c r="F375" s="1331"/>
      <c r="I375" s="524"/>
    </row>
    <row r="376" spans="1:9">
      <c r="A376" s="510"/>
      <c r="B376" s="510"/>
      <c r="C376" s="510"/>
      <c r="D376" s="1331"/>
      <c r="E376" s="1331"/>
      <c r="F376" s="1331"/>
      <c r="I376" s="524"/>
    </row>
    <row r="377" spans="1:9">
      <c r="A377" s="510"/>
      <c r="B377" s="510"/>
      <c r="C377" s="510"/>
      <c r="D377" s="1331"/>
      <c r="E377" s="1331"/>
      <c r="F377" s="1331"/>
      <c r="I377" s="524"/>
    </row>
    <row r="378" spans="1:9">
      <c r="A378" s="510"/>
      <c r="B378" s="510"/>
      <c r="C378" s="510"/>
      <c r="D378" s="1331"/>
      <c r="E378" s="1331"/>
      <c r="F378" s="1331"/>
      <c r="I378" s="524"/>
    </row>
    <row r="379" spans="1:9">
      <c r="A379" s="510"/>
      <c r="B379" s="510"/>
      <c r="C379" s="510"/>
      <c r="D379" s="558"/>
      <c r="E379" s="558"/>
      <c r="F379" s="558"/>
      <c r="I379" s="524"/>
    </row>
    <row r="380" spans="1:9">
      <c r="A380" s="510"/>
      <c r="B380" s="519" t="s">
        <v>2803</v>
      </c>
      <c r="C380" s="510"/>
      <c r="D380" s="433" t="s">
        <v>2025</v>
      </c>
      <c r="E380" s="558"/>
      <c r="F380" s="558"/>
      <c r="I380" s="524"/>
    </row>
    <row r="381" spans="1:9">
      <c r="A381" s="510"/>
      <c r="B381" s="510"/>
      <c r="C381" s="510"/>
      <c r="D381" s="433" t="s">
        <v>2026</v>
      </c>
      <c r="E381" s="558"/>
      <c r="F381" s="558"/>
      <c r="I381" s="524"/>
    </row>
    <row r="382" spans="1:9">
      <c r="A382" s="510"/>
      <c r="B382" s="510"/>
      <c r="C382" s="510"/>
      <c r="D382" s="433" t="s">
        <v>2027</v>
      </c>
      <c r="E382" s="558"/>
      <c r="F382" s="558"/>
      <c r="I382" s="524"/>
    </row>
    <row r="383" spans="1:9">
      <c r="A383" s="510"/>
      <c r="B383" s="510"/>
      <c r="C383" s="510"/>
      <c r="D383" s="433" t="s">
        <v>2028</v>
      </c>
      <c r="E383" s="558"/>
      <c r="F383" s="558"/>
      <c r="I383" s="524"/>
    </row>
    <row r="384" spans="1:9">
      <c r="A384" s="510"/>
      <c r="B384" s="510"/>
      <c r="C384" s="510"/>
      <c r="D384" s="433" t="s">
        <v>2029</v>
      </c>
      <c r="E384" s="558"/>
      <c r="F384" s="558"/>
      <c r="I384" s="524"/>
    </row>
    <row r="385" spans="1:9">
      <c r="A385" s="510"/>
      <c r="B385" s="510"/>
      <c r="C385" s="510"/>
      <c r="D385" s="433" t="s">
        <v>2030</v>
      </c>
      <c r="E385" s="558"/>
      <c r="F385" s="558"/>
      <c r="I385" s="524"/>
    </row>
    <row r="386" spans="1:9">
      <c r="A386" s="510"/>
      <c r="B386" s="510"/>
      <c r="C386" s="510"/>
      <c r="E386" s="481"/>
      <c r="F386" s="480"/>
      <c r="I386" s="524"/>
    </row>
    <row r="387" spans="1:9" ht="14.25">
      <c r="A387" s="518"/>
      <c r="B387" s="519" t="s">
        <v>2803</v>
      </c>
      <c r="C387" s="510"/>
      <c r="D387" s="1275" t="s">
        <v>1226</v>
      </c>
      <c r="E387" s="1275"/>
      <c r="F387" s="1275"/>
      <c r="I387" s="524"/>
    </row>
    <row r="388" spans="1:9">
      <c r="A388" s="510"/>
      <c r="B388" s="510"/>
      <c r="C388" s="510"/>
      <c r="D388" s="1275"/>
      <c r="E388" s="1275"/>
      <c r="F388" s="1275"/>
      <c r="I388" s="524"/>
    </row>
    <row r="389" spans="1:9">
      <c r="A389" s="510"/>
      <c r="B389" s="510"/>
      <c r="C389" s="510"/>
      <c r="D389" s="1275"/>
      <c r="E389" s="1275"/>
      <c r="F389" s="1275"/>
      <c r="I389" s="524"/>
    </row>
    <row r="390" spans="1:9">
      <c r="A390" s="510"/>
      <c r="B390" s="510"/>
      <c r="C390" s="510"/>
      <c r="D390" s="1275"/>
      <c r="E390" s="1275"/>
      <c r="F390" s="1275"/>
      <c r="I390" s="524"/>
    </row>
    <row r="391" spans="1:9">
      <c r="A391" s="510"/>
      <c r="B391" s="510"/>
      <c r="C391" s="510"/>
      <c r="D391" s="481"/>
      <c r="E391" s="481"/>
      <c r="F391" s="480"/>
      <c r="I391" s="524"/>
    </row>
    <row r="392" spans="1:9">
      <c r="A392" s="510"/>
      <c r="B392" s="510"/>
      <c r="C392" s="510"/>
      <c r="D392" s="1275" t="s">
        <v>1227</v>
      </c>
      <c r="E392" s="1275"/>
      <c r="F392" s="1275"/>
      <c r="I392" s="524"/>
    </row>
    <row r="393" spans="1:9">
      <c r="A393" s="510"/>
      <c r="B393" s="510"/>
      <c r="C393" s="510"/>
      <c r="D393" s="1275"/>
      <c r="E393" s="1275"/>
      <c r="F393" s="1275"/>
      <c r="I393" s="524"/>
    </row>
    <row r="394" spans="1:9">
      <c r="A394" s="510"/>
      <c r="B394" s="510"/>
      <c r="C394" s="510"/>
      <c r="D394" s="1275"/>
      <c r="E394" s="1275"/>
      <c r="F394" s="1275"/>
      <c r="I394" s="524"/>
    </row>
    <row r="395" spans="1:9">
      <c r="A395" s="510"/>
      <c r="B395" s="510"/>
      <c r="C395" s="510"/>
      <c r="D395" s="1275"/>
      <c r="E395" s="1275"/>
      <c r="F395" s="1275"/>
      <c r="I395" s="524"/>
    </row>
    <row r="396" spans="1:9" ht="18" customHeight="1">
      <c r="A396" s="510"/>
      <c r="B396" s="510"/>
      <c r="C396" s="510"/>
      <c r="D396" s="1275"/>
      <c r="E396" s="1275"/>
      <c r="F396" s="1275"/>
      <c r="I396" s="524"/>
    </row>
    <row r="397" spans="1:9">
      <c r="A397" s="510"/>
      <c r="B397" s="510"/>
      <c r="C397" s="510"/>
      <c r="D397" s="1275"/>
      <c r="E397" s="1275"/>
      <c r="F397" s="1275"/>
      <c r="I397" s="524"/>
    </row>
    <row r="398" spans="1:9">
      <c r="A398" s="510"/>
      <c r="B398" s="510"/>
      <c r="C398" s="510"/>
      <c r="D398" s="1275"/>
      <c r="E398" s="1275"/>
      <c r="F398" s="1275"/>
      <c r="I398" s="524"/>
    </row>
    <row r="399" spans="1:9">
      <c r="A399" s="510"/>
      <c r="B399" s="510"/>
      <c r="C399" s="510"/>
      <c r="D399" s="1275"/>
      <c r="E399" s="1275"/>
      <c r="F399" s="1275"/>
      <c r="I399" s="524"/>
    </row>
    <row r="400" spans="1:9" ht="8.25" customHeight="1">
      <c r="A400" s="510"/>
      <c r="B400" s="510"/>
      <c r="C400" s="510"/>
      <c r="D400" s="1275"/>
      <c r="E400" s="1275"/>
      <c r="F400" s="1275"/>
      <c r="I400" s="524"/>
    </row>
    <row r="401" spans="1:9" ht="13.7" customHeight="1">
      <c r="A401" s="510"/>
      <c r="B401" s="510"/>
      <c r="C401" s="510"/>
      <c r="D401" s="1275" t="s">
        <v>1228</v>
      </c>
      <c r="E401" s="1275"/>
      <c r="F401" s="1275"/>
      <c r="I401" s="524"/>
    </row>
    <row r="402" spans="1:9">
      <c r="A402" s="510"/>
      <c r="B402" s="510"/>
      <c r="C402" s="510"/>
      <c r="D402" s="1275"/>
      <c r="E402" s="1275"/>
      <c r="F402" s="1275"/>
      <c r="I402" s="524"/>
    </row>
    <row r="403" spans="1:9">
      <c r="A403" s="510"/>
      <c r="B403" s="510"/>
      <c r="C403" s="510"/>
      <c r="D403" s="1275"/>
      <c r="E403" s="1275"/>
      <c r="F403" s="1275"/>
      <c r="I403" s="524"/>
    </row>
    <row r="404" spans="1:9">
      <c r="A404" s="510"/>
      <c r="B404" s="510"/>
      <c r="C404" s="510"/>
      <c r="D404" s="1275"/>
      <c r="E404" s="1275"/>
      <c r="F404" s="1275"/>
      <c r="I404" s="524"/>
    </row>
    <row r="405" spans="1:9">
      <c r="A405" s="510"/>
      <c r="B405" s="510"/>
      <c r="C405" s="510"/>
      <c r="D405" s="1275"/>
      <c r="E405" s="1275"/>
      <c r="F405" s="1275"/>
      <c r="I405" s="524"/>
    </row>
    <row r="406" spans="1:9">
      <c r="A406" s="510"/>
      <c r="B406" s="510"/>
      <c r="C406" s="510"/>
      <c r="D406" s="1275"/>
      <c r="E406" s="1275"/>
      <c r="F406" s="1275"/>
      <c r="I406" s="524"/>
    </row>
    <row r="407" spans="1:9">
      <c r="A407" s="510"/>
      <c r="B407" s="510"/>
      <c r="C407" s="510"/>
      <c r="D407" s="1275"/>
      <c r="E407" s="1275"/>
      <c r="F407" s="1275"/>
      <c r="I407" s="524"/>
    </row>
    <row r="408" spans="1:9">
      <c r="A408" s="510"/>
      <c r="B408" s="510"/>
      <c r="C408" s="510"/>
      <c r="D408" s="1275"/>
      <c r="E408" s="1275"/>
      <c r="F408" s="1275"/>
      <c r="I408" s="524"/>
    </row>
    <row r="409" spans="1:9">
      <c r="A409" s="510"/>
      <c r="B409" s="510"/>
      <c r="C409" s="510"/>
      <c r="D409" s="1275"/>
      <c r="E409" s="1275"/>
      <c r="F409" s="1275"/>
      <c r="I409" s="524"/>
    </row>
    <row r="410" spans="1:9">
      <c r="A410" s="510"/>
      <c r="B410" s="510"/>
      <c r="C410" s="510"/>
      <c r="D410" s="1275"/>
      <c r="E410" s="1275"/>
      <c r="F410" s="1275"/>
      <c r="I410" s="524"/>
    </row>
    <row r="411" spans="1:9">
      <c r="A411" s="510"/>
      <c r="B411" s="510"/>
      <c r="C411" s="510"/>
      <c r="D411" s="1275"/>
      <c r="E411" s="1275"/>
      <c r="F411" s="1275"/>
      <c r="I411" s="524"/>
    </row>
    <row r="412" spans="1:9">
      <c r="A412" s="510"/>
      <c r="B412" s="510"/>
      <c r="C412" s="510"/>
      <c r="D412" s="1275"/>
      <c r="E412" s="1275"/>
      <c r="F412" s="1275"/>
      <c r="I412" s="524"/>
    </row>
    <row r="413" spans="1:9">
      <c r="A413" s="510"/>
      <c r="B413" s="510"/>
      <c r="C413" s="530"/>
      <c r="D413" s="1275"/>
      <c r="E413" s="1275"/>
      <c r="F413" s="1275"/>
      <c r="I413" s="524"/>
    </row>
    <row r="414" spans="1:9">
      <c r="A414" s="510"/>
      <c r="B414" s="510"/>
      <c r="C414" s="530"/>
      <c r="D414" s="1275"/>
      <c r="E414" s="1275"/>
      <c r="F414" s="1275"/>
      <c r="I414" s="524"/>
    </row>
    <row r="415" spans="1:9">
      <c r="A415" s="510"/>
      <c r="B415" s="510"/>
      <c r="C415" s="510"/>
      <c r="D415" s="1275"/>
      <c r="E415" s="1275"/>
      <c r="F415" s="1275"/>
      <c r="I415" s="524"/>
    </row>
    <row r="416" spans="1:9">
      <c r="A416" s="510"/>
      <c r="B416" s="510"/>
      <c r="C416" s="530"/>
      <c r="D416" s="1275"/>
      <c r="E416" s="1275"/>
      <c r="F416" s="1275"/>
      <c r="I416" s="524"/>
    </row>
    <row r="417" spans="1:9">
      <c r="A417" s="510"/>
      <c r="B417" s="510"/>
      <c r="C417" s="530"/>
      <c r="D417" s="1275"/>
      <c r="E417" s="1275"/>
      <c r="F417" s="1275"/>
      <c r="I417" s="524"/>
    </row>
    <row r="418" spans="1:9">
      <c r="A418" s="510"/>
      <c r="B418" s="510"/>
      <c r="C418" s="530"/>
      <c r="D418" s="1275"/>
      <c r="E418" s="1275"/>
      <c r="F418" s="1275"/>
      <c r="I418" s="524"/>
    </row>
    <row r="419" spans="1:9">
      <c r="A419" s="510"/>
      <c r="B419" s="510"/>
      <c r="C419" s="510"/>
      <c r="D419" s="481"/>
      <c r="E419" s="481"/>
      <c r="F419" s="480"/>
      <c r="I419" s="524"/>
    </row>
    <row r="420" spans="1:9">
      <c r="A420" s="510"/>
      <c r="B420" s="519" t="s">
        <v>2803</v>
      </c>
      <c r="C420" s="510"/>
      <c r="D420" s="1275" t="s">
        <v>1229</v>
      </c>
      <c r="E420" s="1275"/>
      <c r="F420" s="1275"/>
      <c r="I420" s="524"/>
    </row>
    <row r="421" spans="1:9">
      <c r="A421" s="510"/>
      <c r="B421" s="510"/>
      <c r="C421" s="510"/>
      <c r="D421" s="1275"/>
      <c r="E421" s="1275"/>
      <c r="F421" s="1275"/>
      <c r="I421" s="524"/>
    </row>
    <row r="422" spans="1:9">
      <c r="A422" s="510"/>
      <c r="B422" s="510"/>
      <c r="C422" s="510"/>
      <c r="D422" s="485"/>
      <c r="E422" s="485"/>
      <c r="F422" s="485"/>
      <c r="I422" s="524"/>
    </row>
    <row r="423" spans="1:9" ht="14.45" customHeight="1">
      <c r="A423" s="518"/>
      <c r="B423" s="519" t="s">
        <v>2803</v>
      </c>
      <c r="D423" s="1275" t="s">
        <v>2130</v>
      </c>
      <c r="E423" s="1275"/>
      <c r="F423" s="1275"/>
      <c r="I423" s="524"/>
    </row>
    <row r="424" spans="1:9" ht="14.45" customHeight="1">
      <c r="A424" s="518"/>
      <c r="D424" s="1275"/>
      <c r="E424" s="1275"/>
      <c r="F424" s="1275"/>
      <c r="I424" s="524"/>
    </row>
    <row r="425" spans="1:9" ht="14.45" customHeight="1">
      <c r="A425" s="518"/>
      <c r="D425" s="1275"/>
      <c r="E425" s="1275"/>
      <c r="F425" s="1275"/>
      <c r="I425" s="524"/>
    </row>
    <row r="426" spans="1:9" ht="14.45" customHeight="1">
      <c r="A426" s="518"/>
      <c r="D426" s="1275"/>
      <c r="E426" s="1275"/>
      <c r="F426" s="1275"/>
      <c r="I426" s="524"/>
    </row>
    <row r="427" spans="1:9" ht="14.45" customHeight="1">
      <c r="A427" s="518"/>
      <c r="D427" s="1275"/>
      <c r="E427" s="1275"/>
      <c r="F427" s="1275"/>
      <c r="I427" s="524"/>
    </row>
    <row r="428" spans="1:9" ht="14.45" customHeight="1">
      <c r="A428" s="518"/>
      <c r="D428" s="416"/>
      <c r="E428" s="416"/>
      <c r="F428" s="416"/>
      <c r="I428" s="524"/>
    </row>
    <row r="429" spans="1:9" ht="13.7" customHeight="1">
      <c r="A429" s="518"/>
      <c r="B429" s="519" t="s">
        <v>2803</v>
      </c>
      <c r="C429" s="510"/>
      <c r="D429" s="1275" t="s">
        <v>1348</v>
      </c>
      <c r="E429" s="1275"/>
      <c r="F429" s="1275"/>
      <c r="I429" s="524"/>
    </row>
    <row r="430" spans="1:9" ht="14.25">
      <c r="A430" s="531"/>
      <c r="B430" s="531"/>
      <c r="C430" s="510"/>
      <c r="D430" s="1275"/>
      <c r="E430" s="1275"/>
      <c r="F430" s="1275"/>
      <c r="I430" s="524"/>
    </row>
    <row r="431" spans="1:9" ht="14.25">
      <c r="A431" s="531"/>
      <c r="B431" s="531"/>
      <c r="C431" s="510"/>
      <c r="D431" s="1275"/>
      <c r="E431" s="1275"/>
      <c r="F431" s="1275"/>
      <c r="I431" s="524"/>
    </row>
    <row r="432" spans="1:9" ht="14.25">
      <c r="A432" s="531"/>
      <c r="B432" s="531"/>
      <c r="C432" s="510"/>
      <c r="D432" s="1275"/>
      <c r="E432" s="1275"/>
      <c r="F432" s="1275"/>
      <c r="I432" s="524"/>
    </row>
    <row r="433" spans="1:9" ht="15.75" customHeight="1">
      <c r="A433" s="531"/>
      <c r="B433" s="531"/>
      <c r="C433" s="510"/>
      <c r="D433" s="1339" t="s">
        <v>2390</v>
      </c>
      <c r="E433" s="1275"/>
      <c r="F433" s="1275"/>
      <c r="I433" s="524"/>
    </row>
    <row r="434" spans="1:9">
      <c r="D434" s="480"/>
      <c r="E434" s="480"/>
      <c r="F434" s="480"/>
      <c r="I434" s="524"/>
    </row>
    <row r="435" spans="1:9" ht="14.25">
      <c r="A435" s="518"/>
      <c r="B435" s="519" t="s">
        <v>2803</v>
      </c>
      <c r="C435" s="521"/>
      <c r="D435" s="1287" t="s">
        <v>2373</v>
      </c>
      <c r="E435" s="1287"/>
      <c r="F435" s="1287"/>
      <c r="I435" s="524"/>
    </row>
    <row r="436" spans="1:9" ht="14.25">
      <c r="A436" s="518"/>
      <c r="B436" s="518"/>
      <c r="D436" s="1287"/>
      <c r="E436" s="1287"/>
      <c r="F436" s="1287"/>
      <c r="I436" s="524"/>
    </row>
    <row r="437" spans="1:9">
      <c r="D437" s="1287"/>
      <c r="E437" s="1287"/>
      <c r="F437" s="1287"/>
      <c r="I437" s="524"/>
    </row>
    <row r="438" spans="1:9">
      <c r="D438" s="1287"/>
      <c r="E438" s="1287"/>
      <c r="F438" s="1287"/>
      <c r="I438" s="524"/>
    </row>
    <row r="439" spans="1:9">
      <c r="D439" s="1287"/>
      <c r="E439" s="1287"/>
      <c r="F439" s="1287"/>
      <c r="I439" s="524"/>
    </row>
    <row r="440" spans="1:9">
      <c r="D440" s="1287"/>
      <c r="E440" s="1287"/>
      <c r="F440" s="1287"/>
      <c r="I440" s="524"/>
    </row>
    <row r="441" spans="1:9">
      <c r="D441" s="1287"/>
      <c r="E441" s="1287"/>
      <c r="F441" s="1287"/>
      <c r="I441" s="524"/>
    </row>
    <row r="442" spans="1:9">
      <c r="D442" s="1287"/>
      <c r="E442" s="1287"/>
      <c r="F442" s="1287"/>
      <c r="I442" s="524"/>
    </row>
    <row r="443" spans="1:9">
      <c r="D443" s="1287"/>
      <c r="E443" s="1287"/>
      <c r="F443" s="1287"/>
      <c r="I443" s="524"/>
    </row>
    <row r="444" spans="1:9">
      <c r="D444" s="1287"/>
      <c r="E444" s="1287"/>
      <c r="F444" s="1287"/>
      <c r="I444" s="524"/>
    </row>
    <row r="445" spans="1:9">
      <c r="D445" s="1287"/>
      <c r="E445" s="1287"/>
      <c r="F445" s="1287"/>
      <c r="I445" s="524"/>
    </row>
    <row r="446" spans="1:9">
      <c r="D446" s="1287"/>
      <c r="E446" s="1287"/>
      <c r="F446" s="1287"/>
      <c r="I446" s="524"/>
    </row>
    <row r="447" spans="1:9">
      <c r="D447" s="1287"/>
      <c r="E447" s="1287"/>
      <c r="F447" s="1287"/>
      <c r="I447" s="524"/>
    </row>
    <row r="448" spans="1:9">
      <c r="A448" s="433"/>
      <c r="B448" s="433"/>
      <c r="C448" s="433"/>
      <c r="D448" s="1287"/>
      <c r="E448" s="1287"/>
      <c r="F448" s="1287"/>
      <c r="I448" s="524"/>
    </row>
    <row r="449" spans="1:9">
      <c r="A449" s="433"/>
      <c r="B449" s="433"/>
      <c r="C449" s="433"/>
      <c r="D449" s="1287"/>
      <c r="E449" s="1287"/>
      <c r="F449" s="1287"/>
      <c r="I449" s="524"/>
    </row>
    <row r="450" spans="1:9">
      <c r="A450" s="433"/>
      <c r="B450" s="433"/>
      <c r="C450" s="433"/>
      <c r="D450" s="1287"/>
      <c r="E450" s="1287"/>
      <c r="F450" s="1287"/>
      <c r="I450" s="524"/>
    </row>
    <row r="451" spans="1:9">
      <c r="A451" s="433"/>
      <c r="B451" s="433"/>
      <c r="C451" s="433"/>
      <c r="D451" s="1287"/>
      <c r="E451" s="1287"/>
      <c r="F451" s="1287"/>
      <c r="I451" s="524"/>
    </row>
    <row r="452" spans="1:9">
      <c r="A452" s="433"/>
      <c r="B452" s="433"/>
      <c r="C452" s="433"/>
      <c r="D452" s="1287"/>
      <c r="E452" s="1287"/>
      <c r="F452" s="1287"/>
      <c r="I452" s="524"/>
    </row>
    <row r="453" spans="1:9">
      <c r="A453" s="433"/>
      <c r="B453" s="433"/>
      <c r="C453" s="433"/>
      <c r="D453" s="1287"/>
      <c r="E453" s="1287"/>
      <c r="F453" s="1287"/>
      <c r="I453" s="524"/>
    </row>
    <row r="454" spans="1:9">
      <c r="A454" s="433"/>
      <c r="B454" s="433"/>
      <c r="C454" s="433"/>
      <c r="D454" s="1287"/>
      <c r="E454" s="1287"/>
      <c r="F454" s="1287"/>
      <c r="I454" s="524"/>
    </row>
    <row r="455" spans="1:9">
      <c r="A455" s="433"/>
      <c r="B455" s="433"/>
      <c r="C455" s="433"/>
      <c r="D455" s="1287"/>
      <c r="E455" s="1287"/>
      <c r="F455" s="1287"/>
      <c r="I455" s="524"/>
    </row>
    <row r="456" spans="1:9">
      <c r="A456" s="433"/>
      <c r="B456" s="433"/>
      <c r="C456" s="433"/>
      <c r="D456" s="1287"/>
      <c r="E456" s="1287"/>
      <c r="F456" s="1287"/>
      <c r="I456" s="524"/>
    </row>
    <row r="457" spans="1:9">
      <c r="A457" s="433"/>
      <c r="B457" s="433"/>
      <c r="C457" s="433"/>
      <c r="D457" s="1287"/>
      <c r="E457" s="1287"/>
      <c r="F457" s="1287"/>
      <c r="I457" s="524"/>
    </row>
    <row r="458" spans="1:9">
      <c r="A458" s="433"/>
      <c r="B458" s="433"/>
      <c r="C458" s="433"/>
      <c r="D458" s="1287"/>
      <c r="E458" s="1287"/>
      <c r="F458" s="1287"/>
      <c r="I458" s="524"/>
    </row>
    <row r="459" spans="1:9">
      <c r="A459" s="433"/>
      <c r="B459" s="433"/>
      <c r="C459" s="433"/>
      <c r="D459" s="1287"/>
      <c r="E459" s="1287"/>
      <c r="F459" s="1287"/>
      <c r="I459" s="524"/>
    </row>
    <row r="460" spans="1:9">
      <c r="A460" s="433"/>
      <c r="B460" s="433"/>
      <c r="C460" s="433"/>
      <c r="D460" s="1287"/>
      <c r="E460" s="1287"/>
      <c r="F460" s="1287"/>
      <c r="I460" s="524"/>
    </row>
    <row r="461" spans="1:9">
      <c r="A461" s="433"/>
      <c r="B461" s="433"/>
      <c r="C461" s="433"/>
      <c r="D461" s="1287"/>
      <c r="E461" s="1287"/>
      <c r="F461" s="1287"/>
      <c r="I461" s="524"/>
    </row>
    <row r="462" spans="1:9">
      <c r="A462" s="433"/>
      <c r="B462" s="433"/>
      <c r="C462" s="433"/>
      <c r="D462" s="1287"/>
      <c r="E462" s="1287"/>
      <c r="F462" s="1287"/>
      <c r="I462" s="524"/>
    </row>
    <row r="463" spans="1:9">
      <c r="A463" s="433"/>
      <c r="B463" s="433"/>
      <c r="C463" s="433"/>
      <c r="D463" s="1287"/>
      <c r="E463" s="1287"/>
      <c r="F463" s="1287"/>
      <c r="I463" s="524"/>
    </row>
    <row r="464" spans="1:9">
      <c r="D464" s="1287"/>
      <c r="E464" s="1287"/>
      <c r="F464" s="1287"/>
      <c r="I464" s="524"/>
    </row>
    <row r="465" spans="1:9" ht="40.700000000000003" customHeight="1">
      <c r="D465" s="1287"/>
      <c r="E465" s="1287"/>
      <c r="F465" s="1287"/>
      <c r="I465" s="524"/>
    </row>
    <row r="466" spans="1:9">
      <c r="D466" s="480"/>
      <c r="E466" s="480"/>
      <c r="F466" s="480"/>
      <c r="I466" s="524"/>
    </row>
    <row r="467" spans="1:9" ht="14.25">
      <c r="A467" s="518"/>
      <c r="B467" s="519" t="s">
        <v>2803</v>
      </c>
      <c r="C467" s="521"/>
      <c r="D467" s="1287" t="s">
        <v>1234</v>
      </c>
      <c r="E467" s="1287"/>
      <c r="F467" s="1287"/>
      <c r="I467" s="524"/>
    </row>
    <row r="468" spans="1:9">
      <c r="D468" s="1287"/>
      <c r="E468" s="1287"/>
      <c r="F468" s="1287"/>
      <c r="I468" s="524"/>
    </row>
    <row r="469" spans="1:9">
      <c r="D469" s="1287"/>
      <c r="E469" s="1287"/>
      <c r="F469" s="1287"/>
      <c r="I469" s="524"/>
    </row>
    <row r="470" spans="1:9">
      <c r="D470" s="479"/>
      <c r="E470" s="479"/>
      <c r="F470" s="479"/>
      <c r="I470" s="524"/>
    </row>
    <row r="471" spans="1:9" ht="14.25">
      <c r="B471" s="519" t="s">
        <v>2803</v>
      </c>
      <c r="C471" s="518"/>
      <c r="D471" s="1287" t="s">
        <v>1304</v>
      </c>
      <c r="E471" s="1287"/>
      <c r="F471" s="1287"/>
      <c r="I471" s="524"/>
    </row>
    <row r="472" spans="1:9">
      <c r="D472" s="1287"/>
      <c r="E472" s="1287"/>
      <c r="F472" s="1287"/>
      <c r="I472" s="524"/>
    </row>
    <row r="473" spans="1:9">
      <c r="D473" s="480"/>
      <c r="E473" s="480"/>
      <c r="F473" s="480"/>
      <c r="I473" s="524"/>
    </row>
    <row r="474" spans="1:9" ht="14.25">
      <c r="B474" s="519" t="s">
        <v>2803</v>
      </c>
      <c r="C474" s="518"/>
      <c r="D474" s="1287" t="s">
        <v>1236</v>
      </c>
      <c r="E474" s="1287"/>
      <c r="F474" s="1287"/>
      <c r="I474" s="524"/>
    </row>
    <row r="475" spans="1:9">
      <c r="D475" s="1287"/>
      <c r="E475" s="1287"/>
      <c r="F475" s="1287"/>
      <c r="I475" s="524"/>
    </row>
    <row r="476" spans="1:9">
      <c r="D476" s="1287"/>
      <c r="E476" s="1287"/>
      <c r="F476" s="1287"/>
      <c r="I476" s="524"/>
    </row>
    <row r="477" spans="1:9">
      <c r="D477" s="1287"/>
      <c r="E477" s="1287"/>
      <c r="F477" s="1287"/>
      <c r="I477" s="524"/>
    </row>
    <row r="478" spans="1:9">
      <c r="B478" s="519" t="s">
        <v>2803</v>
      </c>
      <c r="D478" s="1287"/>
      <c r="E478" s="1287"/>
      <c r="F478" s="1287"/>
      <c r="I478" s="524"/>
    </row>
    <row r="479" spans="1:9">
      <c r="A479" s="433"/>
      <c r="B479" s="433"/>
      <c r="C479" s="433"/>
      <c r="D479" s="1287"/>
      <c r="E479" s="1287"/>
      <c r="F479" s="1287"/>
      <c r="I479" s="524"/>
    </row>
    <row r="480" spans="1:9">
      <c r="A480" s="433"/>
      <c r="C480" s="433"/>
      <c r="D480" s="1287"/>
      <c r="E480" s="1287"/>
      <c r="F480" s="1287"/>
      <c r="I480" s="524"/>
    </row>
    <row r="481" spans="1:9">
      <c r="A481" s="433"/>
      <c r="B481" s="519" t="s">
        <v>2803</v>
      </c>
      <c r="C481" s="433"/>
      <c r="D481" s="1287"/>
      <c r="E481" s="1287"/>
      <c r="F481" s="1287"/>
      <c r="I481" s="524"/>
    </row>
    <row r="482" spans="1:9">
      <c r="A482" s="433"/>
      <c r="B482" s="433"/>
      <c r="C482" s="433"/>
      <c r="D482" s="1287"/>
      <c r="E482" s="1287"/>
      <c r="F482" s="1287"/>
      <c r="I482" s="524"/>
    </row>
    <row r="483" spans="1:9">
      <c r="A483" s="433"/>
      <c r="C483" s="433"/>
      <c r="D483" s="1287"/>
      <c r="E483" s="1287"/>
      <c r="F483" s="1287"/>
      <c r="I483" s="524"/>
    </row>
    <row r="484" spans="1:9">
      <c r="A484" s="433"/>
      <c r="C484" s="433"/>
      <c r="D484" s="1287"/>
      <c r="E484" s="1287"/>
      <c r="F484" s="1287"/>
      <c r="I484" s="524"/>
    </row>
    <row r="485" spans="1:9">
      <c r="A485" s="433"/>
      <c r="C485" s="433"/>
      <c r="D485" s="1287"/>
      <c r="E485" s="1287"/>
      <c r="F485" s="1287"/>
      <c r="I485" s="524"/>
    </row>
    <row r="486" spans="1:9">
      <c r="A486" s="433"/>
      <c r="B486" s="519" t="s">
        <v>2803</v>
      </c>
      <c r="C486" s="433"/>
      <c r="D486" s="1287"/>
      <c r="E486" s="1287"/>
      <c r="F486" s="1287"/>
      <c r="I486" s="524"/>
    </row>
    <row r="487" spans="1:9">
      <c r="A487" s="433"/>
      <c r="C487" s="433"/>
      <c r="D487" s="1287"/>
      <c r="E487" s="1287"/>
      <c r="F487" s="1287"/>
      <c r="I487" s="524"/>
    </row>
    <row r="488" spans="1:9">
      <c r="A488" s="433"/>
      <c r="B488" s="519" t="s">
        <v>2803</v>
      </c>
      <c r="C488" s="433"/>
      <c r="D488" s="1287" t="s">
        <v>1237</v>
      </c>
      <c r="E488" s="1287"/>
      <c r="F488" s="1287"/>
      <c r="I488" s="524"/>
    </row>
    <row r="489" spans="1:9">
      <c r="A489" s="433"/>
      <c r="B489" s="433"/>
      <c r="C489" s="433"/>
      <c r="D489" s="1287"/>
      <c r="E489" s="1287"/>
      <c r="F489" s="1287"/>
      <c r="I489" s="524"/>
    </row>
    <row r="490" spans="1:9">
      <c r="A490" s="433"/>
      <c r="B490" s="433"/>
      <c r="C490" s="433"/>
      <c r="D490" s="1287"/>
      <c r="E490" s="1287"/>
      <c r="F490" s="1287"/>
      <c r="I490" s="524"/>
    </row>
    <row r="491" spans="1:9">
      <c r="A491" s="433"/>
      <c r="B491" s="433"/>
      <c r="C491" s="433"/>
      <c r="D491" s="1287"/>
      <c r="E491" s="1287"/>
      <c r="F491" s="1287"/>
      <c r="I491" s="524"/>
    </row>
    <row r="492" spans="1:9">
      <c r="D492" s="1287"/>
      <c r="E492" s="1287"/>
      <c r="F492" s="1287"/>
      <c r="I492" s="524"/>
    </row>
    <row r="493" spans="1:9">
      <c r="D493" s="480"/>
      <c r="E493" s="480"/>
      <c r="F493" s="480"/>
      <c r="I493" s="524"/>
    </row>
    <row r="494" spans="1:9">
      <c r="B494" s="519" t="s">
        <v>2803</v>
      </c>
      <c r="D494" s="1316" t="s">
        <v>1238</v>
      </c>
      <c r="E494" s="1316"/>
      <c r="F494" s="1316"/>
      <c r="I494" s="524"/>
    </row>
    <row r="495" spans="1:9">
      <c r="A495" s="480"/>
      <c r="B495" s="480"/>
      <c r="I495" s="524"/>
    </row>
    <row r="496" spans="1:9">
      <c r="A496" s="1293" t="s">
        <v>1079</v>
      </c>
      <c r="B496" s="1293"/>
      <c r="C496" s="1293"/>
      <c r="D496" s="1293"/>
      <c r="E496" s="1293"/>
      <c r="F496" s="1293"/>
      <c r="G496" s="1293"/>
      <c r="H496" s="1063"/>
      <c r="I496" s="1256"/>
    </row>
    <row r="497" spans="1:9">
      <c r="A497" s="480"/>
      <c r="B497" s="480"/>
      <c r="I497" s="524"/>
    </row>
    <row r="498" spans="1:9">
      <c r="D498" s="1323" t="s">
        <v>896</v>
      </c>
      <c r="E498" s="1323"/>
      <c r="F498" s="1323"/>
      <c r="I498" s="524"/>
    </row>
    <row r="499" spans="1:9" ht="14.25">
      <c r="A499" s="518"/>
      <c r="B499" s="518"/>
      <c r="D499" s="1320" t="s">
        <v>1239</v>
      </c>
      <c r="E499" s="1320"/>
      <c r="F499" s="1320"/>
      <c r="I499" s="524"/>
    </row>
    <row r="500" spans="1:9" ht="14.25">
      <c r="A500" s="518"/>
      <c r="B500" s="518"/>
      <c r="D500" s="481"/>
      <c r="I500" s="524"/>
    </row>
    <row r="501" spans="1:9" ht="14.25">
      <c r="A501" s="518"/>
      <c r="B501" s="519" t="s">
        <v>2803</v>
      </c>
      <c r="D501" s="1275" t="s">
        <v>1240</v>
      </c>
      <c r="E501" s="1275"/>
      <c r="F501" s="1275"/>
      <c r="I501" s="524" t="s">
        <v>2094</v>
      </c>
    </row>
    <row r="502" spans="1:9" ht="14.25">
      <c r="A502" s="518"/>
      <c r="B502" s="518"/>
      <c r="D502" s="1275"/>
      <c r="E502" s="1275"/>
      <c r="F502" s="1275"/>
      <c r="I502" s="524"/>
    </row>
    <row r="503" spans="1:9" ht="14.25">
      <c r="A503" s="518"/>
      <c r="B503" s="518"/>
      <c r="D503" s="480"/>
      <c r="I503" s="524"/>
    </row>
    <row r="504" spans="1:9" ht="12.75" customHeight="1">
      <c r="B504" s="519" t="s">
        <v>2803</v>
      </c>
      <c r="D504" s="1309" t="s">
        <v>1383</v>
      </c>
      <c r="E504" s="1309"/>
      <c r="F504" s="1309"/>
      <c r="I504" s="524" t="s">
        <v>2095</v>
      </c>
    </row>
    <row r="505" spans="1:9" ht="14.25">
      <c r="A505" s="518"/>
      <c r="D505" s="1309"/>
      <c r="E505" s="1309"/>
      <c r="F505" s="1309"/>
      <c r="I505" s="524"/>
    </row>
    <row r="506" spans="1:9" ht="14.25">
      <c r="A506" s="518"/>
      <c r="B506" s="518"/>
      <c r="D506" s="1309"/>
      <c r="E506" s="1309"/>
      <c r="F506" s="1309"/>
      <c r="I506" s="524"/>
    </row>
    <row r="507" spans="1:9" ht="14.25">
      <c r="A507" s="518"/>
      <c r="B507" s="518"/>
      <c r="D507" s="1309"/>
      <c r="E507" s="1309"/>
      <c r="F507" s="1309"/>
      <c r="I507" s="524"/>
    </row>
    <row r="508" spans="1:9" ht="14.25">
      <c r="A508" s="518"/>
      <c r="D508" s="554"/>
      <c r="E508" s="554"/>
      <c r="F508" s="554"/>
      <c r="I508" s="524"/>
    </row>
    <row r="509" spans="1:9" ht="14.25">
      <c r="A509" s="518"/>
      <c r="B509" s="519" t="s">
        <v>2803</v>
      </c>
      <c r="D509" s="1316" t="s">
        <v>1243</v>
      </c>
      <c r="E509" s="1316"/>
      <c r="F509" s="1316"/>
      <c r="I509" s="524" t="s">
        <v>2096</v>
      </c>
    </row>
    <row r="510" spans="1:9" ht="14.25">
      <c r="A510" s="518"/>
      <c r="B510" s="518"/>
      <c r="D510" s="480"/>
      <c r="I510" s="524"/>
    </row>
    <row r="511" spans="1:9" ht="14.25">
      <c r="A511" s="518"/>
      <c r="B511" s="519" t="s">
        <v>2803</v>
      </c>
      <c r="D511" s="1287" t="s">
        <v>1244</v>
      </c>
      <c r="E511" s="1287"/>
      <c r="F511" s="1287"/>
      <c r="I511" s="524" t="s">
        <v>2096</v>
      </c>
    </row>
    <row r="512" spans="1:9" ht="14.25">
      <c r="A512" s="518"/>
      <c r="D512" s="1287"/>
      <c r="E512" s="1287"/>
      <c r="F512" s="1287"/>
      <c r="I512" s="524"/>
    </row>
    <row r="513" spans="1:9">
      <c r="A513" s="524"/>
      <c r="B513" s="524"/>
      <c r="D513" s="481"/>
      <c r="I513" s="524"/>
    </row>
    <row r="514" spans="1:9">
      <c r="A514" s="524"/>
      <c r="B514" s="519" t="s">
        <v>2803</v>
      </c>
      <c r="D514" s="1316" t="s">
        <v>1245</v>
      </c>
      <c r="E514" s="1316"/>
      <c r="F514" s="1316"/>
      <c r="I514" s="524" t="s">
        <v>2149</v>
      </c>
    </row>
    <row r="515" spans="1:9" ht="14.25">
      <c r="A515" s="518"/>
      <c r="B515" s="518"/>
      <c r="D515" s="480"/>
      <c r="I515" s="524"/>
    </row>
    <row r="516" spans="1:9">
      <c r="A516" s="1293" t="s">
        <v>1080</v>
      </c>
      <c r="B516" s="1293"/>
      <c r="C516" s="1293"/>
      <c r="D516" s="1293"/>
      <c r="E516" s="1293"/>
      <c r="F516" s="1293"/>
      <c r="G516" s="1293"/>
      <c r="H516" s="1063"/>
      <c r="I516" s="1256"/>
    </row>
    <row r="517" spans="1:9" ht="12" customHeight="1">
      <c r="A517" s="518"/>
      <c r="B517" s="518"/>
      <c r="D517" s="480"/>
      <c r="I517" s="524"/>
    </row>
    <row r="518" spans="1:9">
      <c r="C518" s="516"/>
      <c r="D518" s="1285" t="s">
        <v>803</v>
      </c>
      <c r="E518" s="1285"/>
      <c r="F518" s="1285"/>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7" customHeight="1">
      <c r="A522" s="517"/>
      <c r="B522" s="519" t="s">
        <v>2802</v>
      </c>
      <c r="C522" s="517"/>
      <c r="D522" s="1275" t="s">
        <v>2374</v>
      </c>
      <c r="E522" s="1275"/>
      <c r="F522" s="1275"/>
      <c r="I522" s="524" t="s">
        <v>2131</v>
      </c>
    </row>
    <row r="523" spans="1:9">
      <c r="A523" s="517"/>
      <c r="B523" s="517"/>
      <c r="C523" s="517"/>
      <c r="D523" s="1275"/>
      <c r="E523" s="1275"/>
      <c r="F523" s="1275"/>
      <c r="I523" s="524"/>
    </row>
    <row r="524" spans="1:9">
      <c r="A524" s="517"/>
      <c r="B524" s="517"/>
      <c r="C524" s="517"/>
      <c r="D524" s="485"/>
      <c r="E524" s="485"/>
      <c r="F524" s="485"/>
      <c r="I524" s="514"/>
    </row>
    <row r="525" spans="1:9" ht="12.75" customHeight="1">
      <c r="A525" s="517"/>
      <c r="B525" s="519" t="s">
        <v>2803</v>
      </c>
      <c r="D525" s="417" t="s">
        <v>2204</v>
      </c>
      <c r="E525" s="416"/>
      <c r="F525" s="416"/>
      <c r="I525" s="524" t="s">
        <v>2097</v>
      </c>
    </row>
    <row r="526" spans="1:9">
      <c r="A526" s="517"/>
      <c r="B526" s="517"/>
      <c r="C526" s="517"/>
      <c r="D526" s="416"/>
      <c r="E526" s="96" t="s">
        <v>2205</v>
      </c>
      <c r="I526" s="524"/>
    </row>
    <row r="527" spans="1:9">
      <c r="A527" s="517"/>
      <c r="B527" s="517"/>
      <c r="D527" s="1331" t="s">
        <v>2375</v>
      </c>
      <c r="E527" s="1331"/>
      <c r="F527" s="1331"/>
      <c r="I527" s="524"/>
    </row>
    <row r="528" spans="1:9">
      <c r="A528" s="517"/>
      <c r="B528" s="517"/>
      <c r="D528" s="1331"/>
      <c r="E528" s="1331"/>
      <c r="F528" s="1331"/>
      <c r="I528" s="524"/>
    </row>
    <row r="529" spans="1:9">
      <c r="A529" s="517"/>
      <c r="B529" s="517"/>
      <c r="C529" s="517"/>
      <c r="D529" s="1331"/>
      <c r="E529" s="1331"/>
      <c r="F529" s="1331"/>
      <c r="I529" s="524"/>
    </row>
    <row r="530" spans="1:9">
      <c r="A530" s="517"/>
      <c r="B530" s="517"/>
      <c r="C530" s="517"/>
      <c r="D530" s="532"/>
      <c r="F530" s="480"/>
      <c r="I530" s="524"/>
    </row>
    <row r="531" spans="1:9" ht="13.15" customHeight="1">
      <c r="A531" s="517"/>
      <c r="B531" s="519" t="s">
        <v>2803</v>
      </c>
      <c r="C531" s="517"/>
      <c r="D531" s="1287" t="s">
        <v>2376</v>
      </c>
      <c r="E531" s="1287"/>
      <c r="F531" s="1287"/>
      <c r="I531" s="524" t="s">
        <v>2097</v>
      </c>
    </row>
    <row r="532" spans="1:9">
      <c r="A532" s="517"/>
      <c r="B532" s="517"/>
      <c r="C532" s="517"/>
      <c r="D532" s="1287"/>
      <c r="E532" s="1287"/>
      <c r="F532" s="1287"/>
      <c r="I532" s="524"/>
    </row>
    <row r="533" spans="1:9" ht="12" customHeight="1">
      <c r="A533" s="480"/>
      <c r="B533" s="480"/>
      <c r="C533" s="521"/>
      <c r="D533" s="480"/>
      <c r="F533" s="482"/>
      <c r="I533" s="524"/>
    </row>
    <row r="534" spans="1:9">
      <c r="A534" s="1293" t="s">
        <v>1081</v>
      </c>
      <c r="B534" s="1293"/>
      <c r="C534" s="1293"/>
      <c r="D534" s="1293"/>
      <c r="E534" s="1293"/>
      <c r="F534" s="1293"/>
      <c r="G534" s="1293"/>
      <c r="H534" s="1063"/>
      <c r="I534" s="1256"/>
    </row>
    <row r="535" spans="1:9">
      <c r="A535" s="480"/>
      <c r="B535" s="480"/>
      <c r="C535" s="521"/>
      <c r="F535" s="482"/>
      <c r="I535" s="524"/>
    </row>
    <row r="536" spans="1:9">
      <c r="B536" s="1302" t="s">
        <v>449</v>
      </c>
      <c r="C536" s="1302"/>
      <c r="D536" s="1302"/>
      <c r="E536" s="1302"/>
      <c r="F536" s="1302"/>
      <c r="I536" s="524"/>
    </row>
    <row r="537" spans="1:9">
      <c r="A537" s="480"/>
      <c r="B537" s="480"/>
      <c r="C537" s="521"/>
      <c r="D537" s="480"/>
      <c r="F537" s="480"/>
      <c r="I537" s="524"/>
    </row>
    <row r="538" spans="1:9">
      <c r="A538" s="1294" t="s">
        <v>1082</v>
      </c>
      <c r="B538" s="1294"/>
      <c r="C538" s="1294"/>
      <c r="D538" s="1294"/>
      <c r="E538" s="1294"/>
      <c r="F538" s="1294"/>
      <c r="G538" s="1294"/>
      <c r="H538" s="1063"/>
      <c r="I538" s="1256"/>
    </row>
    <row r="539" spans="1:9">
      <c r="A539" s="480"/>
      <c r="B539" s="480"/>
      <c r="C539" s="521"/>
      <c r="D539" s="480"/>
      <c r="F539" s="480"/>
      <c r="I539" s="524"/>
    </row>
    <row r="540" spans="1:9">
      <c r="C540" s="521"/>
      <c r="D540" s="1285" t="s">
        <v>692</v>
      </c>
      <c r="E540" s="1285"/>
      <c r="F540" s="1285"/>
      <c r="I540" s="524"/>
    </row>
    <row r="541" spans="1:9">
      <c r="C541" s="521"/>
      <c r="D541" s="1316" t="s">
        <v>1139</v>
      </c>
      <c r="E541" s="1316"/>
      <c r="F541" s="1316"/>
      <c r="I541" s="524"/>
    </row>
    <row r="542" spans="1:9">
      <c r="C542" s="521"/>
      <c r="D542" s="480"/>
      <c r="E542" s="480"/>
      <c r="F542" s="480"/>
      <c r="I542" s="524"/>
    </row>
    <row r="543" spans="1:9" ht="13.7" customHeight="1">
      <c r="A543" s="518"/>
      <c r="B543" s="519" t="s">
        <v>2802</v>
      </c>
      <c r="C543" s="521"/>
      <c r="D543" s="1316" t="s">
        <v>897</v>
      </c>
      <c r="E543" s="1316"/>
      <c r="F543" s="1316"/>
      <c r="I543" s="524" t="s">
        <v>2147</v>
      </c>
    </row>
    <row r="544" spans="1:9" ht="13.7" customHeight="1">
      <c r="A544" s="521"/>
      <c r="B544" s="521"/>
      <c r="C544" s="521"/>
      <c r="D544" s="480"/>
      <c r="I544" s="524"/>
    </row>
    <row r="545" spans="1:9" ht="14.25">
      <c r="A545" s="518"/>
      <c r="B545" s="519" t="s">
        <v>2802</v>
      </c>
      <c r="C545" s="521"/>
      <c r="D545" s="1287" t="s">
        <v>1140</v>
      </c>
      <c r="E545" s="1287"/>
      <c r="F545" s="1287"/>
      <c r="I545" s="524" t="s">
        <v>2147</v>
      </c>
    </row>
    <row r="546" spans="1:9">
      <c r="A546" s="521"/>
      <c r="B546" s="521"/>
      <c r="C546" s="521"/>
      <c r="D546" s="1287"/>
      <c r="E546" s="1287"/>
      <c r="F546" s="1287"/>
      <c r="I546" s="524"/>
    </row>
    <row r="547" spans="1:9">
      <c r="A547" s="521"/>
      <c r="B547" s="521"/>
      <c r="C547" s="521"/>
      <c r="D547" s="480"/>
      <c r="E547" s="480"/>
      <c r="F547" s="480"/>
      <c r="I547" s="524"/>
    </row>
    <row r="548" spans="1:9" ht="14.25">
      <c r="A548" s="518"/>
      <c r="B548" s="519" t="s">
        <v>2802</v>
      </c>
      <c r="C548" s="521"/>
      <c r="D548" s="1287" t="s">
        <v>1141</v>
      </c>
      <c r="E548" s="1287"/>
      <c r="F548" s="1287"/>
      <c r="I548" s="524" t="s">
        <v>2098</v>
      </c>
    </row>
    <row r="549" spans="1:9">
      <c r="A549" s="521"/>
      <c r="B549" s="521"/>
      <c r="C549" s="521"/>
      <c r="D549" s="1287"/>
      <c r="E549" s="1287"/>
      <c r="F549" s="1287"/>
      <c r="I549" s="524"/>
    </row>
    <row r="550" spans="1:9">
      <c r="A550" s="521"/>
      <c r="B550" s="521"/>
      <c r="C550" s="521"/>
      <c r="D550" s="480"/>
      <c r="E550" s="480"/>
      <c r="F550" s="480"/>
      <c r="I550" s="524"/>
    </row>
    <row r="551" spans="1:9" ht="14.25">
      <c r="A551" s="518"/>
      <c r="B551" s="519" t="s">
        <v>2802</v>
      </c>
      <c r="C551" s="521"/>
      <c r="D551" s="1287" t="s">
        <v>1142</v>
      </c>
      <c r="E551" s="1287"/>
      <c r="F551" s="1287"/>
      <c r="I551" s="524" t="s">
        <v>2099</v>
      </c>
    </row>
    <row r="552" spans="1:9">
      <c r="A552" s="521"/>
      <c r="B552" s="521"/>
      <c r="C552" s="521"/>
      <c r="D552" s="1287"/>
      <c r="E552" s="1287"/>
      <c r="F552" s="1287"/>
      <c r="I552" s="524"/>
    </row>
    <row r="553" spans="1:9">
      <c r="A553" s="521"/>
      <c r="B553" s="521"/>
      <c r="C553" s="521"/>
      <c r="D553" s="480"/>
      <c r="E553" s="480"/>
      <c r="F553" s="480"/>
      <c r="I553" s="524"/>
    </row>
    <row r="554" spans="1:9" ht="14.25">
      <c r="A554" s="518"/>
      <c r="B554" s="519" t="s">
        <v>2802</v>
      </c>
      <c r="C554" s="521"/>
      <c r="D554" s="1287" t="s">
        <v>1143</v>
      </c>
      <c r="E554" s="1287"/>
      <c r="F554" s="1287"/>
      <c r="I554" s="524" t="s">
        <v>2148</v>
      </c>
    </row>
    <row r="555" spans="1:9">
      <c r="A555" s="521"/>
      <c r="B555" s="521"/>
      <c r="C555" s="521"/>
      <c r="D555" s="1287"/>
      <c r="E555" s="1287"/>
      <c r="F555" s="1287"/>
      <c r="I555" s="524"/>
    </row>
    <row r="556" spans="1:9">
      <c r="A556" s="521"/>
      <c r="B556" s="521"/>
      <c r="C556" s="521"/>
      <c r="D556" s="1287"/>
      <c r="E556" s="1287"/>
      <c r="F556" s="1287"/>
      <c r="I556" s="524"/>
    </row>
    <row r="557" spans="1:9">
      <c r="A557" s="521"/>
      <c r="B557" s="521"/>
      <c r="C557" s="521"/>
      <c r="D557" s="480"/>
      <c r="E557" s="480"/>
      <c r="F557" s="480"/>
      <c r="I557" s="524"/>
    </row>
    <row r="558" spans="1:9" ht="14.25">
      <c r="A558" s="518"/>
      <c r="B558" s="519" t="s">
        <v>2803</v>
      </c>
      <c r="C558" s="521"/>
      <c r="D558" s="1287" t="s">
        <v>1261</v>
      </c>
      <c r="E558" s="1287"/>
      <c r="F558" s="1287"/>
      <c r="I558" s="524" t="s">
        <v>2147</v>
      </c>
    </row>
    <row r="559" spans="1:9">
      <c r="A559" s="521"/>
      <c r="B559" s="521"/>
      <c r="C559" s="521"/>
      <c r="D559" s="1287"/>
      <c r="E559" s="1287"/>
      <c r="F559" s="1287"/>
      <c r="I559" s="524"/>
    </row>
    <row r="560" spans="1:9">
      <c r="A560" s="521"/>
      <c r="B560" s="521"/>
      <c r="C560" s="521"/>
      <c r="D560" s="480"/>
      <c r="E560" s="480"/>
      <c r="F560" s="480"/>
      <c r="I560" s="524"/>
    </row>
    <row r="561" spans="1:9" ht="14.25">
      <c r="A561" s="518"/>
      <c r="B561" s="519" t="s">
        <v>2803</v>
      </c>
      <c r="C561" s="521"/>
      <c r="D561" s="1287" t="s">
        <v>1145</v>
      </c>
      <c r="E561" s="1287"/>
      <c r="F561" s="1287"/>
      <c r="I561" s="524" t="s">
        <v>2147</v>
      </c>
    </row>
    <row r="562" spans="1:9">
      <c r="A562" s="521"/>
      <c r="B562" s="521"/>
      <c r="C562" s="521"/>
      <c r="D562" s="1287"/>
      <c r="E562" s="1287"/>
      <c r="F562" s="1287"/>
      <c r="I562" s="524"/>
    </row>
    <row r="563" spans="1:9">
      <c r="A563" s="521"/>
      <c r="B563" s="521"/>
      <c r="C563" s="521"/>
      <c r="D563" s="480"/>
      <c r="E563" s="480"/>
      <c r="F563" s="480"/>
      <c r="I563" s="524"/>
    </row>
    <row r="564" spans="1:9" ht="14.25">
      <c r="A564" s="518"/>
      <c r="B564" s="519" t="s">
        <v>2802</v>
      </c>
      <c r="C564" s="521"/>
      <c r="D564" s="1316" t="s">
        <v>1146</v>
      </c>
      <c r="E564" s="1316"/>
      <c r="F564" s="1316"/>
      <c r="I564" s="524" t="s">
        <v>2150</v>
      </c>
    </row>
    <row r="565" spans="1:9">
      <c r="A565" s="524"/>
      <c r="B565" s="524"/>
      <c r="C565" s="521"/>
      <c r="D565" s="1316" t="s">
        <v>2207</v>
      </c>
      <c r="E565" s="1316"/>
      <c r="F565" s="1316"/>
      <c r="I565" s="524"/>
    </row>
    <row r="566" spans="1:9">
      <c r="A566" s="524"/>
      <c r="B566" s="524"/>
      <c r="C566" s="521"/>
      <c r="E566" s="96" t="s">
        <v>2206</v>
      </c>
      <c r="F566" s="435"/>
      <c r="I566" s="524"/>
    </row>
    <row r="567" spans="1:9" ht="14.25">
      <c r="A567" s="518"/>
      <c r="B567" s="518"/>
      <c r="C567" s="521"/>
      <c r="E567" s="480"/>
      <c r="F567" s="480"/>
      <c r="I567" s="524"/>
    </row>
    <row r="568" spans="1:9" ht="14.25">
      <c r="A568" s="518"/>
      <c r="B568" s="519" t="s">
        <v>2802</v>
      </c>
      <c r="C568" s="521"/>
      <c r="D568" s="1316" t="s">
        <v>1148</v>
      </c>
      <c r="E568" s="1316"/>
      <c r="F568" s="1316"/>
      <c r="I568" s="524" t="s">
        <v>2100</v>
      </c>
    </row>
    <row r="569" spans="1:9">
      <c r="C569" s="521"/>
      <c r="D569" s="1287" t="s">
        <v>1149</v>
      </c>
      <c r="E569" s="1287"/>
      <c r="F569" s="1287"/>
      <c r="I569" s="524"/>
    </row>
    <row r="570" spans="1:9">
      <c r="A570" s="521"/>
      <c r="B570" s="521"/>
      <c r="C570" s="521"/>
      <c r="D570" s="1287"/>
      <c r="E570" s="1287"/>
      <c r="F570" s="1287"/>
      <c r="I570" s="524"/>
    </row>
    <row r="571" spans="1:9">
      <c r="A571" s="521"/>
      <c r="B571" s="521"/>
      <c r="C571" s="521"/>
      <c r="D571" s="1287"/>
      <c r="E571" s="1287"/>
      <c r="F571" s="1287"/>
      <c r="I571" s="524"/>
    </row>
    <row r="572" spans="1:9">
      <c r="A572" s="521"/>
      <c r="B572" s="521"/>
      <c r="C572" s="521"/>
      <c r="D572" s="480"/>
      <c r="E572" s="480"/>
      <c r="F572" s="480"/>
      <c r="I572" s="524"/>
    </row>
    <row r="573" spans="1:9" ht="14.25">
      <c r="A573" s="518"/>
      <c r="B573" s="519" t="s">
        <v>2802</v>
      </c>
      <c r="C573" s="521"/>
      <c r="D573" s="1287" t="s">
        <v>2377</v>
      </c>
      <c r="E573" s="1287"/>
      <c r="F573" s="1287"/>
      <c r="I573" s="524" t="s">
        <v>2101</v>
      </c>
    </row>
    <row r="574" spans="1:9" ht="14.25">
      <c r="A574" s="518"/>
      <c r="B574" s="518"/>
      <c r="C574" s="521"/>
      <c r="D574" s="1287"/>
      <c r="E574" s="1287"/>
      <c r="F574" s="1287"/>
      <c r="I574" s="524"/>
    </row>
    <row r="575" spans="1:9" ht="14.25">
      <c r="A575" s="518"/>
      <c r="B575" s="518"/>
      <c r="C575" s="521"/>
      <c r="D575" s="1287"/>
      <c r="E575" s="1287"/>
      <c r="F575" s="1287"/>
      <c r="I575" s="524"/>
    </row>
    <row r="576" spans="1:9" ht="14.25">
      <c r="A576" s="518"/>
      <c r="B576" s="518"/>
      <c r="C576" s="521"/>
      <c r="D576" s="1287"/>
      <c r="E576" s="1287"/>
      <c r="F576" s="1287"/>
      <c r="I576" s="524"/>
    </row>
    <row r="577" spans="1:9" ht="14.25">
      <c r="A577" s="518"/>
      <c r="B577" s="518"/>
      <c r="C577" s="521"/>
      <c r="D577" s="480"/>
      <c r="E577" s="480"/>
      <c r="F577" s="480"/>
      <c r="I577" s="524"/>
    </row>
    <row r="578" spans="1:9">
      <c r="A578" s="1293" t="s">
        <v>1083</v>
      </c>
      <c r="B578" s="1293"/>
      <c r="C578" s="1293"/>
      <c r="D578" s="1293"/>
      <c r="E578" s="1293"/>
      <c r="F578" s="1293"/>
      <c r="G578" s="1293"/>
      <c r="H578" s="1063"/>
      <c r="I578" s="1256"/>
    </row>
    <row r="579" spans="1:9">
      <c r="A579" s="521"/>
      <c r="B579" s="521"/>
      <c r="C579" s="521"/>
      <c r="E579" s="480"/>
      <c r="F579" s="480"/>
      <c r="I579" s="524"/>
    </row>
    <row r="580" spans="1:9" ht="12.75" customHeight="1">
      <c r="C580" s="516"/>
      <c r="D580" s="1315" t="s">
        <v>211</v>
      </c>
      <c r="E580" s="1315"/>
      <c r="F580" s="1315"/>
      <c r="I580" s="524"/>
    </row>
    <row r="581" spans="1:9">
      <c r="A581" s="517"/>
      <c r="B581" s="517"/>
      <c r="C581" s="517"/>
      <c r="D581" s="1309" t="s">
        <v>1099</v>
      </c>
      <c r="E581" s="1309"/>
      <c r="F581" s="1309"/>
      <c r="I581" s="524"/>
    </row>
    <row r="582" spans="1:9">
      <c r="A582" s="433"/>
      <c r="B582" s="433"/>
      <c r="C582" s="517"/>
      <c r="D582" s="533"/>
      <c r="I582" s="524" t="s">
        <v>2102</v>
      </c>
    </row>
    <row r="583" spans="1:9">
      <c r="A583" s="517"/>
      <c r="B583" s="519" t="s">
        <v>2802</v>
      </c>
      <c r="D583" s="1309" t="s">
        <v>903</v>
      </c>
      <c r="E583" s="1309"/>
      <c r="F583" s="1309"/>
      <c r="I583" s="524"/>
    </row>
    <row r="584" spans="1:9">
      <c r="A584" s="524"/>
      <c r="B584" s="524"/>
      <c r="D584" s="510"/>
      <c r="I584" s="524"/>
    </row>
    <row r="585" spans="1:9">
      <c r="A585" s="524"/>
      <c r="B585" s="519" t="s">
        <v>2802</v>
      </c>
      <c r="D585" s="1309" t="s">
        <v>2378</v>
      </c>
      <c r="E585" s="1309"/>
      <c r="F585" s="1309"/>
      <c r="I585" s="524" t="s">
        <v>2104</v>
      </c>
    </row>
    <row r="586" spans="1:9">
      <c r="A586" s="524"/>
      <c r="B586" s="524"/>
      <c r="D586" s="1309"/>
      <c r="E586" s="1309"/>
      <c r="F586" s="1309"/>
      <c r="I586" s="524" t="s">
        <v>2103</v>
      </c>
    </row>
    <row r="587" spans="1:9">
      <c r="A587" s="524"/>
      <c r="B587" s="524"/>
      <c r="D587" s="1309"/>
      <c r="E587" s="1309"/>
      <c r="F587" s="1309"/>
      <c r="I587" s="524"/>
    </row>
    <row r="588" spans="1:9">
      <c r="A588" s="524"/>
      <c r="B588" s="524"/>
      <c r="D588" s="1309"/>
      <c r="E588" s="1309"/>
      <c r="F588" s="1309"/>
      <c r="I588" s="524"/>
    </row>
    <row r="589" spans="1:9">
      <c r="A589" s="524"/>
      <c r="B589" s="519" t="s">
        <v>2803</v>
      </c>
      <c r="D589" s="1309" t="s">
        <v>1101</v>
      </c>
      <c r="E589" s="1309"/>
      <c r="F589" s="1309"/>
      <c r="I589" s="524"/>
    </row>
    <row r="590" spans="1:9">
      <c r="A590" s="524"/>
      <c r="B590" s="524"/>
      <c r="D590" s="1309"/>
      <c r="E590" s="1309"/>
      <c r="F590" s="1309"/>
      <c r="I590" s="524"/>
    </row>
    <row r="591" spans="1:9">
      <c r="A591" s="524"/>
      <c r="B591" s="524"/>
      <c r="D591" s="1309"/>
      <c r="E591" s="1309"/>
      <c r="F591" s="1309"/>
      <c r="I591" s="524"/>
    </row>
    <row r="592" spans="1:9">
      <c r="A592" s="524"/>
      <c r="B592" s="524"/>
      <c r="D592" s="1309"/>
      <c r="E592" s="1309"/>
      <c r="F592" s="1309"/>
      <c r="I592" s="524"/>
    </row>
    <row r="593" spans="1:9">
      <c r="A593" s="524"/>
      <c r="B593" s="524"/>
      <c r="D593" s="473"/>
      <c r="E593" s="473"/>
      <c r="F593" s="473"/>
      <c r="I593" s="524"/>
    </row>
    <row r="594" spans="1:9">
      <c r="A594" s="524"/>
      <c r="B594" s="519" t="s">
        <v>2802</v>
      </c>
      <c r="D594" s="1309" t="s">
        <v>2379</v>
      </c>
      <c r="E594" s="1309"/>
      <c r="F594" s="1309"/>
      <c r="I594" s="524"/>
    </row>
    <row r="595" spans="1:9">
      <c r="A595" s="524"/>
      <c r="B595" s="524"/>
      <c r="D595" s="1309"/>
      <c r="E595" s="1309"/>
      <c r="F595" s="1309"/>
      <c r="I595" s="524"/>
    </row>
    <row r="596" spans="1:9">
      <c r="A596" s="524"/>
      <c r="B596" s="524"/>
      <c r="D596" s="533"/>
      <c r="I596" s="524"/>
    </row>
    <row r="597" spans="1:9">
      <c r="A597" s="524"/>
      <c r="B597" s="519" t="s">
        <v>2803</v>
      </c>
      <c r="D597" s="1309" t="s">
        <v>1103</v>
      </c>
      <c r="E597" s="1309"/>
      <c r="F597" s="1309"/>
      <c r="I597" s="524" t="s">
        <v>2151</v>
      </c>
    </row>
    <row r="598" spans="1:9">
      <c r="A598" s="524"/>
      <c r="B598" s="524"/>
      <c r="D598" s="1309"/>
      <c r="E598" s="1309"/>
      <c r="F598" s="1309"/>
      <c r="I598" s="524"/>
    </row>
    <row r="599" spans="1:9" ht="14.25">
      <c r="A599" s="518"/>
      <c r="B599" s="518"/>
      <c r="D599" s="533"/>
      <c r="I599" s="524"/>
    </row>
    <row r="600" spans="1:9">
      <c r="A600" s="1293" t="s">
        <v>1084</v>
      </c>
      <c r="B600" s="1293"/>
      <c r="C600" s="1293"/>
      <c r="D600" s="1293"/>
      <c r="E600" s="1293"/>
      <c r="F600" s="1293"/>
      <c r="G600" s="1293"/>
      <c r="H600" s="1063"/>
      <c r="I600" s="1256"/>
    </row>
    <row r="601" spans="1:9">
      <c r="I601" s="524"/>
    </row>
    <row r="602" spans="1:9">
      <c r="D602" s="1285" t="s">
        <v>1184</v>
      </c>
      <c r="E602" s="1285"/>
      <c r="F602" s="1285"/>
      <c r="I602" s="524"/>
    </row>
    <row r="603" spans="1:9">
      <c r="D603" s="1286" t="s">
        <v>1185</v>
      </c>
      <c r="E603" s="1286"/>
      <c r="F603" s="1286"/>
      <c r="I603" s="524"/>
    </row>
    <row r="604" spans="1:9">
      <c r="D604" s="478"/>
      <c r="I604" s="524"/>
    </row>
    <row r="605" spans="1:9" ht="14.25" customHeight="1">
      <c r="A605" s="518"/>
      <c r="B605" s="519" t="s">
        <v>2802</v>
      </c>
      <c r="D605" s="1350" t="s">
        <v>2208</v>
      </c>
      <c r="E605" s="1350"/>
      <c r="F605" s="1350"/>
      <c r="I605" s="524" t="s">
        <v>2132</v>
      </c>
    </row>
    <row r="606" spans="1:9">
      <c r="D606" s="1350"/>
      <c r="E606" s="1350"/>
      <c r="F606" s="1350"/>
      <c r="I606" s="524"/>
    </row>
    <row r="607" spans="1:9">
      <c r="D607" s="416"/>
      <c r="E607" s="1071" t="s">
        <v>2209</v>
      </c>
      <c r="F607" s="416"/>
      <c r="I607" s="524"/>
    </row>
    <row r="608" spans="1:9">
      <c r="I608" s="524"/>
    </row>
    <row r="609" spans="1:9">
      <c r="A609" s="1293" t="s">
        <v>1085</v>
      </c>
      <c r="B609" s="1293"/>
      <c r="C609" s="1293"/>
      <c r="D609" s="1293"/>
      <c r="E609" s="1293"/>
      <c r="F609" s="1293"/>
      <c r="G609" s="1293"/>
      <c r="H609" s="1063"/>
      <c r="I609" s="1256"/>
    </row>
    <row r="610" spans="1:9">
      <c r="A610" s="480"/>
      <c r="B610" s="480"/>
      <c r="I610" s="524"/>
    </row>
    <row r="611" spans="1:9">
      <c r="A611" s="516"/>
      <c r="B611" s="516"/>
      <c r="C611" s="516"/>
      <c r="D611" s="1288" t="s">
        <v>1187</v>
      </c>
      <c r="E611" s="1288"/>
      <c r="F611" s="1288"/>
      <c r="I611" s="524"/>
    </row>
    <row r="612" spans="1:9">
      <c r="A612" s="516"/>
      <c r="B612" s="516"/>
      <c r="C612" s="516"/>
      <c r="D612" s="1288"/>
      <c r="E612" s="1288"/>
      <c r="F612" s="1288"/>
      <c r="I612" s="524"/>
    </row>
    <row r="613" spans="1:9">
      <c r="C613" s="517"/>
      <c r="D613" s="1286" t="s">
        <v>1188</v>
      </c>
      <c r="E613" s="1286"/>
      <c r="F613" s="1286"/>
      <c r="I613" s="524"/>
    </row>
    <row r="614" spans="1:9">
      <c r="C614" s="517"/>
      <c r="D614" s="478"/>
      <c r="E614" s="478"/>
      <c r="F614" s="478"/>
      <c r="I614" s="524"/>
    </row>
    <row r="615" spans="1:9" ht="12.75" customHeight="1">
      <c r="A615" s="524"/>
      <c r="B615" s="519" t="s">
        <v>1070</v>
      </c>
      <c r="D615" s="1289" t="s">
        <v>1189</v>
      </c>
      <c r="E615" s="1289"/>
      <c r="F615" s="1289"/>
      <c r="I615" s="524" t="s">
        <v>2152</v>
      </c>
    </row>
    <row r="616" spans="1:9">
      <c r="D616" s="1289"/>
      <c r="E616" s="1289"/>
      <c r="F616" s="1289"/>
      <c r="I616" s="524"/>
    </row>
    <row r="617" spans="1:9">
      <c r="I617" s="524"/>
    </row>
    <row r="618" spans="1:9">
      <c r="B618" s="519" t="s">
        <v>2802</v>
      </c>
      <c r="D618" s="1289" t="s">
        <v>1190</v>
      </c>
      <c r="E618" s="1289"/>
      <c r="F618" s="1289"/>
      <c r="I618" s="524" t="s">
        <v>2105</v>
      </c>
    </row>
    <row r="619" spans="1:9">
      <c r="C619" s="534"/>
      <c r="D619" s="1289"/>
      <c r="E619" s="1289"/>
      <c r="F619" s="1289"/>
      <c r="I619" s="524"/>
    </row>
    <row r="620" spans="1:9">
      <c r="C620" s="534"/>
      <c r="I620" s="524"/>
    </row>
    <row r="621" spans="1:9">
      <c r="B621" s="519" t="s">
        <v>2803</v>
      </c>
      <c r="C621" s="534"/>
      <c r="D621" s="1289" t="s">
        <v>1191</v>
      </c>
      <c r="E621" s="1289"/>
      <c r="F621" s="1289"/>
      <c r="I621" s="524" t="s">
        <v>2153</v>
      </c>
    </row>
    <row r="622" spans="1:9">
      <c r="C622" s="534"/>
      <c r="D622" s="1289"/>
      <c r="E622" s="1289"/>
      <c r="F622" s="1289"/>
      <c r="I622" s="534" t="s">
        <v>2154</v>
      </c>
    </row>
    <row r="623" spans="1:9">
      <c r="C623" s="534"/>
      <c r="I623" s="524"/>
    </row>
    <row r="624" spans="1:9">
      <c r="A624" s="1293" t="s">
        <v>1086</v>
      </c>
      <c r="B624" s="1293"/>
      <c r="C624" s="1293"/>
      <c r="D624" s="1293"/>
      <c r="E624" s="1293"/>
      <c r="F624" s="1293"/>
      <c r="G624" s="1293"/>
      <c r="H624" s="1063"/>
      <c r="I624" s="1256"/>
    </row>
    <row r="625" spans="1:9">
      <c r="A625" s="516"/>
      <c r="B625" s="516"/>
      <c r="C625" s="516"/>
      <c r="I625" s="524"/>
    </row>
    <row r="626" spans="1:9">
      <c r="C626" s="524"/>
      <c r="D626" s="1285" t="s">
        <v>1192</v>
      </c>
      <c r="E626" s="1285"/>
      <c r="F626" s="1285"/>
      <c r="I626" s="524"/>
    </row>
    <row r="627" spans="1:9">
      <c r="A627" s="524"/>
      <c r="B627" s="524"/>
      <c r="D627" s="435"/>
      <c r="I627" s="524"/>
    </row>
    <row r="628" spans="1:9" ht="14.25" customHeight="1">
      <c r="A628" s="518"/>
      <c r="B628" s="519" t="s">
        <v>1070</v>
      </c>
      <c r="D628" s="1350" t="s">
        <v>2380</v>
      </c>
      <c r="E628" s="1350"/>
      <c r="F628" s="1350"/>
      <c r="I628" s="524" t="s">
        <v>2133</v>
      </c>
    </row>
    <row r="629" spans="1:9">
      <c r="D629" s="1350"/>
      <c r="E629" s="1350"/>
      <c r="F629" s="1350"/>
      <c r="I629" s="524"/>
    </row>
    <row r="630" spans="1:9">
      <c r="D630" s="416"/>
      <c r="E630" s="1071" t="s">
        <v>2211</v>
      </c>
      <c r="F630" s="416"/>
      <c r="I630" s="524"/>
    </row>
    <row r="631" spans="1:9">
      <c r="D631" s="1287" t="s">
        <v>2210</v>
      </c>
      <c r="E631" s="1287"/>
      <c r="F631" s="1287"/>
      <c r="I631" s="524"/>
    </row>
    <row r="632" spans="1:9">
      <c r="D632" s="1287"/>
      <c r="E632" s="1287"/>
      <c r="F632" s="1287"/>
      <c r="I632" s="524"/>
    </row>
    <row r="633" spans="1:9">
      <c r="D633" s="1287"/>
      <c r="E633" s="1287"/>
      <c r="F633" s="1287"/>
      <c r="I633" s="524"/>
    </row>
    <row r="634" spans="1:9">
      <c r="D634" s="479"/>
      <c r="E634" s="479"/>
      <c r="F634" s="479"/>
      <c r="I634" s="524"/>
    </row>
    <row r="635" spans="1:9" ht="14.25">
      <c r="A635" s="518"/>
      <c r="B635" s="519" t="s">
        <v>2803</v>
      </c>
      <c r="D635" s="1287" t="s">
        <v>1194</v>
      </c>
      <c r="E635" s="1287"/>
      <c r="F635" s="1287"/>
      <c r="I635" s="524" t="s">
        <v>2155</v>
      </c>
    </row>
    <row r="636" spans="1:9">
      <c r="A636" s="521"/>
      <c r="B636" s="521"/>
      <c r="C636" s="521"/>
      <c r="D636" s="1287"/>
      <c r="E636" s="1287"/>
      <c r="F636" s="1287"/>
      <c r="I636" s="524"/>
    </row>
    <row r="637" spans="1:9">
      <c r="A637" s="521"/>
      <c r="B637" s="521"/>
      <c r="C637" s="521"/>
      <c r="D637" s="480"/>
      <c r="E637" s="480"/>
      <c r="F637" s="480"/>
      <c r="I637" s="524"/>
    </row>
    <row r="638" spans="1:9" ht="14.25">
      <c r="A638" s="518"/>
      <c r="B638" s="519" t="s">
        <v>2803</v>
      </c>
      <c r="C638" s="521"/>
      <c r="D638" s="1287" t="s">
        <v>1333</v>
      </c>
      <c r="E638" s="1287"/>
      <c r="F638" s="1287"/>
      <c r="I638" s="524" t="s">
        <v>2106</v>
      </c>
    </row>
    <row r="639" spans="1:9" ht="14.25">
      <c r="A639" s="518"/>
      <c r="B639" s="518"/>
      <c r="C639" s="521"/>
      <c r="D639" s="1287"/>
      <c r="E639" s="1287"/>
      <c r="F639" s="1287"/>
      <c r="I639" s="524"/>
    </row>
    <row r="640" spans="1:9" ht="14.25">
      <c r="A640" s="518"/>
      <c r="B640" s="518"/>
      <c r="C640" s="521"/>
      <c r="D640" s="1287"/>
      <c r="E640" s="1287"/>
      <c r="F640" s="1287"/>
      <c r="I640" s="524"/>
    </row>
    <row r="641" spans="1:9">
      <c r="A641" s="521"/>
      <c r="B641" s="519" t="s">
        <v>2803</v>
      </c>
      <c r="C641" s="521"/>
      <c r="D641" s="1316" t="s">
        <v>1196</v>
      </c>
      <c r="E641" s="1316"/>
      <c r="F641" s="1316"/>
      <c r="I641" s="524" t="s">
        <v>2106</v>
      </c>
    </row>
    <row r="642" spans="1:9">
      <c r="A642" s="521"/>
      <c r="B642" s="521"/>
      <c r="C642" s="521"/>
      <c r="D642" s="480"/>
      <c r="E642" s="480"/>
      <c r="F642" s="480"/>
      <c r="I642" s="524"/>
    </row>
    <row r="643" spans="1:9">
      <c r="A643" s="1293" t="s">
        <v>1087</v>
      </c>
      <c r="B643" s="1293"/>
      <c r="C643" s="1293"/>
      <c r="D643" s="1293"/>
      <c r="E643" s="1293"/>
      <c r="F643" s="1293"/>
      <c r="G643" s="1293"/>
      <c r="H643" s="1063"/>
      <c r="I643" s="1256"/>
    </row>
    <row r="644" spans="1:9">
      <c r="A644" s="480"/>
      <c r="B644" s="480"/>
      <c r="C644" s="521"/>
      <c r="D644" s="480"/>
      <c r="E644" s="480"/>
      <c r="F644" s="480"/>
      <c r="I644" s="524"/>
    </row>
    <row r="645" spans="1:9">
      <c r="C645" s="516"/>
      <c r="D645" s="1285" t="s">
        <v>1246</v>
      </c>
      <c r="E645" s="1285"/>
      <c r="F645" s="1285"/>
      <c r="I645" s="524"/>
    </row>
    <row r="646" spans="1:9">
      <c r="A646" s="517"/>
      <c r="B646" s="517"/>
      <c r="C646" s="517"/>
      <c r="D646" s="1316" t="s">
        <v>1247</v>
      </c>
      <c r="E646" s="1316"/>
      <c r="F646" s="1316"/>
      <c r="I646" s="524"/>
    </row>
    <row r="647" spans="1:9">
      <c r="A647" s="517"/>
      <c r="B647" s="517"/>
      <c r="C647" s="517"/>
      <c r="D647" s="480"/>
      <c r="E647" s="480"/>
      <c r="F647" s="480"/>
      <c r="I647" s="524"/>
    </row>
    <row r="648" spans="1:9" ht="12.75" customHeight="1">
      <c r="B648" s="519" t="s">
        <v>2802</v>
      </c>
      <c r="C648" s="521"/>
      <c r="D648" s="1287" t="s">
        <v>1391</v>
      </c>
      <c r="E648" s="1287"/>
      <c r="F648" s="1287"/>
      <c r="I648" s="524" t="s">
        <v>2158</v>
      </c>
    </row>
    <row r="649" spans="1:9">
      <c r="D649" s="1287"/>
      <c r="E649" s="1287"/>
      <c r="F649" s="1287"/>
      <c r="I649" s="524"/>
    </row>
    <row r="650" spans="1:9">
      <c r="D650" s="1287"/>
      <c r="E650" s="1287"/>
      <c r="F650" s="1287"/>
      <c r="I650" s="524"/>
    </row>
    <row r="651" spans="1:9">
      <c r="D651" s="1287"/>
      <c r="E651" s="1287"/>
      <c r="F651" s="1287"/>
      <c r="I651" s="524"/>
    </row>
    <row r="652" spans="1:9" ht="14.45" customHeight="1">
      <c r="A652" s="518"/>
      <c r="B652" s="518"/>
      <c r="C652" s="521"/>
      <c r="D652" s="416"/>
      <c r="E652" s="416"/>
      <c r="F652" s="416"/>
      <c r="I652" s="524"/>
    </row>
    <row r="653" spans="1:9" ht="12.75" customHeight="1">
      <c r="A653" s="517"/>
      <c r="B653" s="519" t="s">
        <v>2802</v>
      </c>
      <c r="C653" s="521"/>
      <c r="D653" s="1287" t="s">
        <v>1393</v>
      </c>
      <c r="E653" s="1287"/>
      <c r="F653" s="1287"/>
      <c r="I653" s="524" t="s">
        <v>2158</v>
      </c>
    </row>
    <row r="654" spans="1:9" ht="14.25">
      <c r="A654" s="517"/>
      <c r="B654" s="518"/>
      <c r="C654" s="521"/>
      <c r="D654" s="1287"/>
      <c r="E654" s="1287"/>
      <c r="F654" s="1287"/>
      <c r="I654" s="524"/>
    </row>
    <row r="655" spans="1:9" ht="14.25">
      <c r="A655" s="517"/>
      <c r="B655" s="518"/>
      <c r="C655" s="521"/>
      <c r="D655" s="1287"/>
      <c r="E655" s="1287"/>
      <c r="F655" s="1287"/>
      <c r="I655" s="524"/>
    </row>
    <row r="656" spans="1:9" ht="14.25">
      <c r="A656" s="517"/>
      <c r="B656" s="518"/>
      <c r="C656" s="521"/>
      <c r="D656" s="1287"/>
      <c r="E656" s="1287"/>
      <c r="F656" s="1287"/>
      <c r="I656" s="524"/>
    </row>
    <row r="657" spans="1:9" ht="14.25">
      <c r="A657" s="517"/>
      <c r="B657" s="518"/>
      <c r="C657" s="521"/>
      <c r="D657" s="1287"/>
      <c r="E657" s="1287"/>
      <c r="F657" s="1287"/>
      <c r="I657" s="524"/>
    </row>
    <row r="658" spans="1:9" ht="14.25" customHeight="1">
      <c r="A658" s="517"/>
      <c r="B658" s="518"/>
      <c r="C658" s="521"/>
      <c r="F658" s="417"/>
      <c r="I658" s="524"/>
    </row>
    <row r="659" spans="1:9" ht="12.75" customHeight="1">
      <c r="A659" s="517"/>
      <c r="B659" s="519" t="s">
        <v>2803</v>
      </c>
      <c r="C659" s="521"/>
      <c r="D659" s="1287" t="s">
        <v>1392</v>
      </c>
      <c r="E659" s="1287"/>
      <c r="F659" s="1287"/>
      <c r="I659" s="524" t="s">
        <v>2158</v>
      </c>
    </row>
    <row r="660" spans="1:9" ht="14.25">
      <c r="A660" s="517"/>
      <c r="B660" s="518"/>
      <c r="C660" s="521"/>
      <c r="D660" s="1287"/>
      <c r="E660" s="1287"/>
      <c r="F660" s="1287"/>
      <c r="I660" s="524"/>
    </row>
    <row r="661" spans="1:9" ht="14.25">
      <c r="A661" s="518"/>
      <c r="B661" s="518"/>
      <c r="C661" s="521"/>
      <c r="D661" s="1287"/>
      <c r="E661" s="1287"/>
      <c r="F661" s="1287"/>
      <c r="I661" s="524"/>
    </row>
    <row r="662" spans="1:9" ht="14.25">
      <c r="A662" s="518"/>
      <c r="B662" s="518"/>
      <c r="C662" s="521"/>
      <c r="D662" s="1287"/>
      <c r="E662" s="1287"/>
      <c r="F662" s="1287"/>
      <c r="I662" s="524"/>
    </row>
    <row r="663" spans="1:9" ht="14.25">
      <c r="A663" s="518"/>
      <c r="B663" s="518"/>
      <c r="C663" s="521"/>
      <c r="D663" s="479"/>
      <c r="E663" s="479"/>
      <c r="F663" s="479"/>
      <c r="I663" s="524"/>
    </row>
    <row r="664" spans="1:9" ht="12.75" customHeight="1">
      <c r="A664" s="517"/>
      <c r="B664" s="519" t="s">
        <v>2803</v>
      </c>
      <c r="C664" s="521"/>
      <c r="D664" s="1287" t="s">
        <v>2381</v>
      </c>
      <c r="E664" s="1287"/>
      <c r="F664" s="1287"/>
      <c r="I664" s="524" t="s">
        <v>2158</v>
      </c>
    </row>
    <row r="665" spans="1:9" ht="12.75" customHeight="1">
      <c r="A665" s="517"/>
      <c r="B665" s="518"/>
      <c r="C665" s="521"/>
      <c r="D665" s="1287"/>
      <c r="E665" s="1287"/>
      <c r="F665" s="1287"/>
      <c r="I665" s="524"/>
    </row>
    <row r="666" spans="1:9" ht="12.75" customHeight="1">
      <c r="A666" s="517"/>
      <c r="B666" s="518"/>
      <c r="C666" s="521"/>
      <c r="D666" s="1287"/>
      <c r="E666" s="1287"/>
      <c r="F666" s="1287"/>
      <c r="I666" s="524"/>
    </row>
    <row r="667" spans="1:9" ht="12.75" customHeight="1">
      <c r="A667" s="517"/>
      <c r="B667" s="518"/>
      <c r="C667" s="521"/>
      <c r="D667" s="1287"/>
      <c r="E667" s="1287"/>
      <c r="F667" s="1287"/>
      <c r="I667" s="524"/>
    </row>
    <row r="668" spans="1:9" ht="12.75" customHeight="1">
      <c r="A668" s="517"/>
      <c r="B668" s="518"/>
      <c r="C668" s="521"/>
      <c r="D668" s="1287"/>
      <c r="E668" s="1287"/>
      <c r="F668" s="1287"/>
      <c r="I668" s="524"/>
    </row>
    <row r="669" spans="1:9" ht="12.75" customHeight="1">
      <c r="A669" s="517"/>
      <c r="B669" s="518"/>
      <c r="C669" s="521"/>
      <c r="D669" s="1287"/>
      <c r="E669" s="1287"/>
      <c r="F669" s="1287"/>
      <c r="I669" s="524"/>
    </row>
    <row r="670" spans="1:9" ht="12.75" customHeight="1">
      <c r="A670" s="517"/>
      <c r="B670" s="518"/>
      <c r="C670" s="521"/>
      <c r="D670" s="1287"/>
      <c r="E670" s="1287"/>
      <c r="F670" s="1287"/>
      <c r="I670" s="524"/>
    </row>
    <row r="671" spans="1:9" ht="12.75" customHeight="1">
      <c r="A671" s="517"/>
      <c r="B671" s="518"/>
      <c r="C671" s="521"/>
      <c r="D671" s="1287"/>
      <c r="E671" s="1287"/>
      <c r="F671" s="1287"/>
      <c r="I671" s="524"/>
    </row>
    <row r="672" spans="1:9" ht="12.75" customHeight="1">
      <c r="A672" s="517"/>
      <c r="B672" s="518"/>
      <c r="C672" s="521"/>
      <c r="D672" s="1287"/>
      <c r="E672" s="1287"/>
      <c r="F672" s="1287"/>
      <c r="I672" s="524"/>
    </row>
    <row r="673" spans="1:11">
      <c r="A673" s="521"/>
      <c r="B673" s="521"/>
      <c r="C673" s="521"/>
      <c r="D673" s="480"/>
      <c r="E673" s="480"/>
      <c r="F673" s="480"/>
      <c r="I673" s="524"/>
    </row>
    <row r="674" spans="1:11">
      <c r="A674" s="1293" t="s">
        <v>1088</v>
      </c>
      <c r="B674" s="1293"/>
      <c r="C674" s="1293"/>
      <c r="D674" s="1293"/>
      <c r="E674" s="1293"/>
      <c r="F674" s="1293"/>
      <c r="G674" s="1293"/>
      <c r="H674" s="1065"/>
      <c r="I674" s="1260"/>
      <c r="J674" s="535"/>
      <c r="K674" s="535"/>
    </row>
    <row r="675" spans="1:11">
      <c r="A675" s="482"/>
      <c r="B675" s="482"/>
      <c r="C675" s="482"/>
      <c r="D675" s="482"/>
      <c r="E675" s="482"/>
      <c r="F675" s="482"/>
      <c r="G675" s="482"/>
      <c r="H675" s="535"/>
      <c r="I675" s="517"/>
      <c r="J675" s="535"/>
      <c r="K675" s="535"/>
    </row>
    <row r="676" spans="1:11">
      <c r="C676" s="516"/>
      <c r="D676" s="1285" t="s">
        <v>99</v>
      </c>
      <c r="E676" s="1285"/>
      <c r="F676" s="1285"/>
      <c r="H676" s="535"/>
      <c r="I676" s="517"/>
      <c r="J676" s="535"/>
      <c r="K676" s="535"/>
    </row>
    <row r="677" spans="1:11">
      <c r="A677" s="516"/>
      <c r="B677" s="516"/>
      <c r="C677" s="516"/>
      <c r="D677" s="1285" t="s">
        <v>123</v>
      </c>
      <c r="E677" s="1285"/>
      <c r="F677" s="1285"/>
      <c r="H677" s="535"/>
      <c r="I677" s="517"/>
      <c r="J677" s="535"/>
      <c r="K677" s="535"/>
    </row>
    <row r="678" spans="1:11">
      <c r="A678" s="517"/>
      <c r="B678" s="517"/>
      <c r="C678" s="517"/>
      <c r="D678" s="1316" t="s">
        <v>1124</v>
      </c>
      <c r="E678" s="1316"/>
      <c r="F678" s="1316"/>
      <c r="H678" s="535"/>
      <c r="I678" s="517"/>
      <c r="J678" s="535"/>
      <c r="K678" s="535"/>
    </row>
    <row r="679" spans="1:11">
      <c r="A679" s="517"/>
      <c r="B679" s="517"/>
      <c r="C679" s="517"/>
      <c r="H679" s="535"/>
      <c r="I679" s="517"/>
      <c r="J679" s="535"/>
      <c r="K679" s="535"/>
    </row>
    <row r="680" spans="1:11" ht="14.25">
      <c r="A680" s="518"/>
      <c r="B680" s="519" t="s">
        <v>2802</v>
      </c>
      <c r="C680" s="517"/>
      <c r="D680" s="1316" t="s">
        <v>899</v>
      </c>
      <c r="E680" s="1316"/>
      <c r="F680" s="1316"/>
      <c r="H680" s="535"/>
      <c r="I680" s="517" t="s">
        <v>2134</v>
      </c>
      <c r="J680" s="535"/>
      <c r="K680" s="535"/>
    </row>
    <row r="681" spans="1:11">
      <c r="A681" s="517"/>
      <c r="B681" s="517"/>
      <c r="C681" s="517"/>
      <c r="D681" s="1316" t="s">
        <v>909</v>
      </c>
      <c r="E681" s="1316"/>
      <c r="F681" s="1316"/>
      <c r="H681" s="535"/>
      <c r="I681" s="517"/>
      <c r="J681" s="535"/>
      <c r="K681" s="535"/>
    </row>
    <row r="682" spans="1:11" ht="12.75" customHeight="1">
      <c r="A682" s="517"/>
      <c r="B682" s="517"/>
      <c r="C682" s="517"/>
      <c r="E682" s="1071" t="s">
        <v>2213</v>
      </c>
      <c r="F682" s="451"/>
      <c r="H682" s="535"/>
      <c r="I682" s="517"/>
      <c r="J682" s="535"/>
      <c r="K682" s="535"/>
    </row>
    <row r="683" spans="1:11">
      <c r="A683" s="517"/>
      <c r="B683" s="517"/>
      <c r="C683" s="517"/>
      <c r="E683" s="535" t="s">
        <v>2212</v>
      </c>
      <c r="F683" s="451"/>
      <c r="I683" s="517"/>
      <c r="J683" s="535"/>
      <c r="K683" s="535"/>
    </row>
    <row r="684" spans="1:11">
      <c r="A684" s="517"/>
      <c r="B684" s="517"/>
      <c r="C684" s="517"/>
      <c r="D684" s="536"/>
      <c r="E684" s="480"/>
      <c r="H684" s="535"/>
      <c r="I684" s="517"/>
      <c r="J684" s="535"/>
      <c r="K684" s="535"/>
    </row>
    <row r="685" spans="1:11" ht="14.25">
      <c r="A685" s="518"/>
      <c r="B685" s="519" t="s">
        <v>2803</v>
      </c>
      <c r="C685" s="517"/>
      <c r="D685" s="1287" t="s">
        <v>2382</v>
      </c>
      <c r="E685" s="1287"/>
      <c r="F685" s="1287"/>
      <c r="H685" s="535"/>
      <c r="I685" s="517" t="s">
        <v>2156</v>
      </c>
      <c r="J685" s="535"/>
      <c r="K685" s="535"/>
    </row>
    <row r="686" spans="1:11">
      <c r="A686" s="524"/>
      <c r="B686" s="524"/>
      <c r="C686" s="517"/>
      <c r="D686" s="1287"/>
      <c r="E686" s="1287"/>
      <c r="F686" s="1287"/>
      <c r="H686" s="535"/>
      <c r="I686" s="517"/>
      <c r="J686" s="535"/>
      <c r="K686" s="535"/>
    </row>
    <row r="687" spans="1:11">
      <c r="A687" s="517"/>
      <c r="B687" s="517"/>
      <c r="C687" s="517"/>
      <c r="D687" s="1287"/>
      <c r="E687" s="1287"/>
      <c r="F687" s="1287"/>
      <c r="H687" s="535"/>
      <c r="I687" s="517"/>
      <c r="J687" s="535"/>
      <c r="K687" s="535"/>
    </row>
    <row r="688" spans="1:11">
      <c r="A688" s="517"/>
      <c r="B688" s="517"/>
      <c r="C688" s="517"/>
      <c r="H688" s="535"/>
      <c r="I688" s="517" t="s">
        <v>2135</v>
      </c>
      <c r="J688" s="535"/>
      <c r="K688" s="535"/>
    </row>
    <row r="689" spans="1:11" ht="14.25">
      <c r="A689" s="518"/>
      <c r="B689" s="519" t="s">
        <v>2803</v>
      </c>
      <c r="C689" s="517"/>
      <c r="D689" s="1316" t="s">
        <v>937</v>
      </c>
      <c r="E689" s="1316"/>
      <c r="F689" s="1316"/>
      <c r="H689" s="535"/>
      <c r="I689" s="517"/>
      <c r="J689" s="535"/>
      <c r="K689" s="535"/>
    </row>
    <row r="690" spans="1:11" ht="14.25">
      <c r="A690" s="518"/>
      <c r="B690" s="518"/>
      <c r="C690" s="517"/>
      <c r="D690" s="1316" t="s">
        <v>909</v>
      </c>
      <c r="E690" s="1316"/>
      <c r="F690" s="1316"/>
      <c r="H690" s="535"/>
      <c r="I690" s="517"/>
      <c r="J690" s="535"/>
      <c r="K690" s="535"/>
    </row>
    <row r="691" spans="1:11">
      <c r="A691" s="517"/>
      <c r="B691" s="517"/>
      <c r="C691" s="517"/>
      <c r="E691" s="1071" t="s">
        <v>2214</v>
      </c>
      <c r="F691" s="435"/>
      <c r="H691" s="535"/>
      <c r="I691" s="517"/>
      <c r="J691" s="535"/>
      <c r="K691" s="535"/>
    </row>
    <row r="692" spans="1:11">
      <c r="A692" s="517"/>
      <c r="B692" s="517"/>
      <c r="C692" s="517"/>
      <c r="D692" s="435"/>
      <c r="H692" s="535"/>
      <c r="I692" s="517"/>
      <c r="J692" s="535"/>
      <c r="K692" s="535"/>
    </row>
    <row r="693" spans="1:11" ht="14.25">
      <c r="A693" s="518"/>
      <c r="B693" s="519" t="s">
        <v>2802</v>
      </c>
      <c r="C693" s="517"/>
      <c r="D693" s="1287" t="s">
        <v>1137</v>
      </c>
      <c r="E693" s="1287"/>
      <c r="F693" s="1287"/>
      <c r="H693" s="535"/>
      <c r="I693" s="517" t="s">
        <v>2107</v>
      </c>
      <c r="J693" s="535"/>
      <c r="K693" s="535"/>
    </row>
    <row r="694" spans="1:11">
      <c r="A694" s="517"/>
      <c r="B694" s="517"/>
      <c r="C694" s="517"/>
      <c r="D694" s="1287"/>
      <c r="E694" s="1287"/>
      <c r="F694" s="1287"/>
      <c r="H694" s="535"/>
      <c r="I694" s="517"/>
      <c r="J694" s="535"/>
      <c r="K694" s="535"/>
    </row>
    <row r="695" spans="1:11">
      <c r="A695" s="517"/>
      <c r="B695" s="517"/>
      <c r="C695" s="517"/>
      <c r="D695" s="1287"/>
      <c r="E695" s="1287"/>
      <c r="F695" s="1287"/>
      <c r="H695" s="535"/>
      <c r="I695" s="517"/>
      <c r="J695" s="535"/>
      <c r="K695" s="535"/>
    </row>
    <row r="696" spans="1:11">
      <c r="A696" s="517"/>
      <c r="B696" s="517"/>
      <c r="C696" s="517"/>
      <c r="D696" s="1287"/>
      <c r="E696" s="1287"/>
      <c r="F696" s="1287"/>
      <c r="H696" s="535"/>
      <c r="I696" s="517"/>
      <c r="J696" s="535"/>
      <c r="K696" s="535"/>
    </row>
    <row r="697" spans="1:11">
      <c r="A697" s="517"/>
      <c r="B697" s="517"/>
      <c r="C697" s="517"/>
      <c r="D697" s="1287"/>
      <c r="E697" s="1287"/>
      <c r="F697" s="1287"/>
      <c r="H697" s="535"/>
      <c r="I697" s="517"/>
      <c r="J697" s="535"/>
      <c r="K697" s="535"/>
    </row>
    <row r="698" spans="1:11">
      <c r="A698" s="517"/>
      <c r="B698" s="517"/>
      <c r="C698" s="517"/>
      <c r="D698" s="1287"/>
      <c r="E698" s="1287"/>
      <c r="F698" s="1287"/>
      <c r="H698" s="535"/>
      <c r="I698" s="517"/>
      <c r="J698" s="535"/>
      <c r="K698" s="535"/>
    </row>
    <row r="699" spans="1:11">
      <c r="A699" s="517"/>
      <c r="B699" s="517"/>
      <c r="C699" s="517"/>
      <c r="D699" s="479"/>
      <c r="E699" s="479"/>
      <c r="F699" s="479"/>
      <c r="H699" s="535"/>
      <c r="I699" s="517"/>
      <c r="J699" s="535"/>
      <c r="K699" s="535"/>
    </row>
    <row r="700" spans="1:11">
      <c r="A700" s="517"/>
      <c r="B700" s="519" t="s">
        <v>2802</v>
      </c>
      <c r="C700" s="517"/>
      <c r="D700" s="1287" t="s">
        <v>1308</v>
      </c>
      <c r="E700" s="1287"/>
      <c r="F700" s="1287"/>
      <c r="H700" s="535"/>
      <c r="I700" s="517" t="s">
        <v>2107</v>
      </c>
      <c r="J700" s="535"/>
      <c r="K700" s="535"/>
    </row>
    <row r="701" spans="1:11">
      <c r="A701" s="517"/>
      <c r="B701" s="517"/>
      <c r="C701" s="517"/>
      <c r="D701" s="1287"/>
      <c r="E701" s="1287"/>
      <c r="F701" s="1287"/>
      <c r="H701" s="535"/>
      <c r="I701" s="517"/>
      <c r="J701" s="535"/>
      <c r="K701" s="535"/>
    </row>
    <row r="702" spans="1:11">
      <c r="A702" s="517"/>
      <c r="B702" s="517"/>
      <c r="C702" s="517"/>
      <c r="D702" s="479"/>
      <c r="E702" s="479"/>
      <c r="F702" s="479"/>
      <c r="H702" s="535"/>
      <c r="I702" s="517"/>
      <c r="J702" s="535"/>
      <c r="K702" s="535"/>
    </row>
    <row r="703" spans="1:11" ht="14.25">
      <c r="A703" s="518"/>
      <c r="B703" s="519" t="s">
        <v>2803</v>
      </c>
      <c r="C703" s="517"/>
      <c r="D703" s="1287" t="s">
        <v>1128</v>
      </c>
      <c r="E703" s="1287"/>
      <c r="F703" s="1287"/>
      <c r="H703" s="535"/>
      <c r="I703" s="517" t="s">
        <v>2107</v>
      </c>
      <c r="J703" s="535"/>
      <c r="K703" s="535"/>
    </row>
    <row r="704" spans="1:11">
      <c r="A704" s="517"/>
      <c r="B704" s="517"/>
      <c r="C704" s="517"/>
      <c r="D704" s="1287"/>
      <c r="E704" s="1287"/>
      <c r="F704" s="1287"/>
      <c r="H704" s="535"/>
      <c r="I704" s="517"/>
      <c r="J704" s="535"/>
      <c r="K704" s="535"/>
    </row>
    <row r="705" spans="1:11">
      <c r="A705" s="517"/>
      <c r="B705" s="517"/>
      <c r="C705" s="517"/>
      <c r="D705" s="1287"/>
      <c r="E705" s="1287"/>
      <c r="F705" s="1287"/>
      <c r="H705" s="535"/>
      <c r="I705" s="517"/>
      <c r="J705" s="535"/>
      <c r="K705" s="535"/>
    </row>
    <row r="706" spans="1:11" ht="15" customHeight="1">
      <c r="A706" s="517"/>
      <c r="B706" s="517"/>
      <c r="C706" s="517"/>
      <c r="D706" s="1287"/>
      <c r="E706" s="1287"/>
      <c r="F706" s="1287"/>
      <c r="H706" s="535"/>
      <c r="I706" s="517"/>
      <c r="J706" s="535"/>
      <c r="K706" s="535"/>
    </row>
    <row r="707" spans="1:11" ht="15" customHeight="1">
      <c r="A707" s="517"/>
      <c r="B707" s="517"/>
      <c r="C707" s="517"/>
      <c r="D707" s="1287"/>
      <c r="E707" s="1287"/>
      <c r="F707" s="1287"/>
      <c r="H707" s="535"/>
      <c r="I707" s="517"/>
      <c r="J707" s="535"/>
      <c r="K707" s="535"/>
    </row>
    <row r="708" spans="1:11">
      <c r="A708" s="517"/>
      <c r="B708" s="517"/>
      <c r="C708" s="517"/>
      <c r="D708" s="1287"/>
      <c r="E708" s="1287"/>
      <c r="F708" s="1287"/>
      <c r="H708" s="535"/>
      <c r="I708" s="517"/>
      <c r="J708" s="535"/>
      <c r="K708" s="535"/>
    </row>
    <row r="709" spans="1:11">
      <c r="A709" s="517"/>
      <c r="B709" s="517"/>
      <c r="C709" s="517"/>
      <c r="D709" s="1287"/>
      <c r="E709" s="1287"/>
      <c r="F709" s="1287"/>
      <c r="H709" s="535"/>
      <c r="I709" s="517"/>
      <c r="J709" s="535"/>
      <c r="K709" s="535"/>
    </row>
    <row r="710" spans="1:11">
      <c r="A710" s="517"/>
      <c r="B710" s="517"/>
      <c r="C710" s="517"/>
      <c r="D710" s="1287"/>
      <c r="E710" s="1287"/>
      <c r="F710" s="1287"/>
      <c r="H710" s="535"/>
      <c r="I710" s="517"/>
      <c r="J710" s="535"/>
      <c r="K710" s="535"/>
    </row>
    <row r="711" spans="1:11" ht="15" customHeight="1">
      <c r="A711" s="517"/>
      <c r="B711" s="517"/>
      <c r="C711" s="517"/>
      <c r="D711" s="1287"/>
      <c r="E711" s="1287"/>
      <c r="F711" s="1287"/>
      <c r="H711" s="535"/>
      <c r="I711" s="517"/>
      <c r="J711" s="535"/>
      <c r="K711" s="535"/>
    </row>
    <row r="712" spans="1:11">
      <c r="A712" s="517"/>
      <c r="B712" s="517"/>
      <c r="C712" s="517"/>
      <c r="D712" s="1287"/>
      <c r="E712" s="1287"/>
      <c r="F712" s="1287"/>
      <c r="H712" s="535"/>
      <c r="I712" s="517"/>
      <c r="J712" s="535"/>
      <c r="K712" s="535"/>
    </row>
    <row r="713" spans="1:11">
      <c r="A713" s="517"/>
      <c r="B713" s="517"/>
      <c r="C713" s="517"/>
      <c r="D713" s="1287"/>
      <c r="E713" s="1287"/>
      <c r="F713" s="1287"/>
      <c r="H713" s="535"/>
      <c r="I713" s="517"/>
      <c r="J713" s="535"/>
      <c r="K713" s="535"/>
    </row>
    <row r="714" spans="1:11">
      <c r="A714" s="517"/>
      <c r="B714" s="517"/>
      <c r="C714" s="517"/>
      <c r="D714" s="1287"/>
      <c r="E714" s="1287"/>
      <c r="F714" s="1287"/>
      <c r="H714" s="535"/>
      <c r="I714" s="517"/>
      <c r="J714" s="535"/>
      <c r="K714" s="535"/>
    </row>
    <row r="715" spans="1:11">
      <c r="A715" s="517"/>
      <c r="B715" s="517"/>
      <c r="C715" s="517"/>
      <c r="D715" s="1287"/>
      <c r="E715" s="1287"/>
      <c r="F715" s="1287"/>
      <c r="H715" s="535"/>
      <c r="I715" s="517"/>
      <c r="J715" s="535"/>
      <c r="K715" s="535"/>
    </row>
    <row r="716" spans="1:11">
      <c r="A716" s="517"/>
      <c r="B716" s="519" t="s">
        <v>2803</v>
      </c>
      <c r="C716" s="517"/>
      <c r="D716" s="1287" t="s">
        <v>1135</v>
      </c>
      <c r="E716" s="1287"/>
      <c r="F716" s="1287"/>
      <c r="H716" s="535"/>
      <c r="I716" s="517" t="s">
        <v>2157</v>
      </c>
      <c r="J716" s="535"/>
      <c r="K716" s="535"/>
    </row>
    <row r="717" spans="1:11">
      <c r="A717" s="517"/>
      <c r="B717" s="517"/>
      <c r="C717" s="517"/>
      <c r="D717" s="1287"/>
      <c r="E717" s="1287"/>
      <c r="F717" s="1287"/>
      <c r="H717" s="535"/>
      <c r="I717" s="517"/>
      <c r="J717" s="535"/>
      <c r="K717" s="535"/>
    </row>
    <row r="718" spans="1:11">
      <c r="A718" s="517"/>
      <c r="B718" s="517"/>
      <c r="C718" s="517"/>
      <c r="D718" s="479"/>
      <c r="E718" s="479"/>
      <c r="F718" s="479"/>
      <c r="H718" s="535"/>
      <c r="I718" s="517"/>
      <c r="J718" s="535"/>
      <c r="K718" s="535"/>
    </row>
    <row r="719" spans="1:11">
      <c r="A719" s="517"/>
      <c r="B719" s="519" t="s">
        <v>2803</v>
      </c>
      <c r="C719" s="517"/>
      <c r="D719" s="1287" t="s">
        <v>1129</v>
      </c>
      <c r="E719" s="1287"/>
      <c r="F719" s="1287"/>
      <c r="H719" s="535"/>
      <c r="I719" s="517" t="s">
        <v>2157</v>
      </c>
      <c r="J719" s="535"/>
      <c r="K719" s="535"/>
    </row>
    <row r="720" spans="1:11">
      <c r="A720" s="517"/>
      <c r="B720" s="517"/>
      <c r="C720" s="517"/>
      <c r="D720" s="1287"/>
      <c r="E720" s="1287"/>
      <c r="F720" s="1287"/>
      <c r="H720" s="535"/>
      <c r="I720" s="517"/>
      <c r="J720" s="535"/>
      <c r="K720" s="535"/>
    </row>
    <row r="721" spans="1:11">
      <c r="A721" s="517"/>
      <c r="B721" s="517"/>
      <c r="C721" s="517"/>
      <c r="D721" s="1287"/>
      <c r="E721" s="1287"/>
      <c r="F721" s="1287"/>
      <c r="H721" s="535"/>
      <c r="I721" s="517"/>
      <c r="J721" s="535"/>
      <c r="K721" s="535"/>
    </row>
    <row r="722" spans="1:11">
      <c r="A722" s="517"/>
      <c r="B722" s="517"/>
      <c r="C722" s="517"/>
      <c r="H722" s="535"/>
      <c r="I722" s="517"/>
      <c r="J722" s="535"/>
      <c r="K722" s="535"/>
    </row>
    <row r="723" spans="1:11">
      <c r="A723" s="517"/>
      <c r="B723" s="519" t="s">
        <v>2803</v>
      </c>
      <c r="C723" s="517"/>
      <c r="D723" s="1287" t="s">
        <v>1130</v>
      </c>
      <c r="E723" s="1287"/>
      <c r="F723" s="1287"/>
      <c r="H723" s="535"/>
      <c r="I723" s="517" t="s">
        <v>2157</v>
      </c>
      <c r="J723" s="535"/>
      <c r="K723" s="535"/>
    </row>
    <row r="724" spans="1:11">
      <c r="A724" s="517"/>
      <c r="B724" s="517"/>
      <c r="C724" s="517"/>
      <c r="D724" s="1287"/>
      <c r="E724" s="1287"/>
      <c r="F724" s="1287"/>
      <c r="H724" s="535"/>
      <c r="I724" s="517"/>
      <c r="J724" s="535"/>
      <c r="K724" s="535"/>
    </row>
    <row r="725" spans="1:11">
      <c r="A725" s="517"/>
      <c r="B725" s="517"/>
      <c r="C725" s="517"/>
      <c r="D725" s="1287"/>
      <c r="E725" s="1287"/>
      <c r="F725" s="1287"/>
      <c r="H725" s="535"/>
      <c r="I725" s="517"/>
      <c r="J725" s="535"/>
      <c r="K725" s="535"/>
    </row>
    <row r="726" spans="1:11">
      <c r="A726" s="517"/>
      <c r="B726" s="517"/>
      <c r="C726" s="517"/>
      <c r="H726" s="535"/>
      <c r="I726" s="517"/>
      <c r="J726" s="535"/>
      <c r="K726" s="535"/>
    </row>
    <row r="727" spans="1:11" ht="14.25">
      <c r="A727" s="518"/>
      <c r="B727" s="519" t="s">
        <v>2803</v>
      </c>
      <c r="C727" s="517"/>
      <c r="D727" s="1287" t="s">
        <v>1131</v>
      </c>
      <c r="E727" s="1287"/>
      <c r="F727" s="1287"/>
      <c r="H727" s="535"/>
      <c r="I727" s="517" t="s">
        <v>2108</v>
      </c>
      <c r="J727" s="535"/>
      <c r="K727" s="535"/>
    </row>
    <row r="728" spans="1:11">
      <c r="A728" s="517"/>
      <c r="B728" s="517"/>
      <c r="C728" s="517"/>
      <c r="D728" s="1287"/>
      <c r="E728" s="1287"/>
      <c r="F728" s="1287"/>
      <c r="H728" s="535"/>
      <c r="I728" s="517"/>
      <c r="J728" s="535"/>
      <c r="K728" s="535"/>
    </row>
    <row r="729" spans="1:11">
      <c r="A729" s="517"/>
      <c r="B729" s="517"/>
      <c r="C729" s="517"/>
      <c r="D729" s="1287"/>
      <c r="E729" s="1287"/>
      <c r="F729" s="1287"/>
      <c r="H729" s="535"/>
      <c r="I729" s="517"/>
      <c r="J729" s="535"/>
      <c r="K729" s="535"/>
    </row>
    <row r="730" spans="1:11">
      <c r="A730" s="517"/>
      <c r="B730" s="517"/>
      <c r="C730" s="517"/>
      <c r="D730" s="1287"/>
      <c r="E730" s="1287"/>
      <c r="F730" s="1287"/>
      <c r="H730" s="535"/>
      <c r="I730" s="517"/>
      <c r="J730" s="535"/>
      <c r="K730" s="535"/>
    </row>
    <row r="731" spans="1:11">
      <c r="A731" s="517"/>
      <c r="B731" s="517"/>
      <c r="C731" s="517"/>
      <c r="D731" s="526"/>
      <c r="H731" s="535"/>
      <c r="I731" s="517"/>
      <c r="J731" s="535"/>
      <c r="K731" s="535"/>
    </row>
    <row r="732" spans="1:11" ht="14.25">
      <c r="A732" s="518"/>
      <c r="B732" s="519" t="s">
        <v>2803</v>
      </c>
      <c r="C732" s="517"/>
      <c r="D732" s="1287" t="s">
        <v>2505</v>
      </c>
      <c r="E732" s="1287"/>
      <c r="F732" s="1287"/>
      <c r="H732" s="535"/>
      <c r="I732" s="517" t="s">
        <v>2124</v>
      </c>
      <c r="J732" s="535"/>
      <c r="K732" s="535"/>
    </row>
    <row r="733" spans="1:11">
      <c r="A733" s="517"/>
      <c r="B733" s="517"/>
      <c r="C733" s="517"/>
      <c r="D733" s="1287"/>
      <c r="E733" s="1287"/>
      <c r="F733" s="1287"/>
      <c r="H733" s="535"/>
      <c r="I733" s="517"/>
      <c r="J733" s="535"/>
      <c r="K733" s="535"/>
    </row>
    <row r="734" spans="1:11">
      <c r="A734" s="517"/>
      <c r="B734" s="517"/>
      <c r="C734" s="517"/>
      <c r="D734" s="1287"/>
      <c r="E734" s="1287"/>
      <c r="F734" s="1287"/>
      <c r="H734" s="535"/>
      <c r="I734" s="517"/>
      <c r="J734" s="535"/>
      <c r="K734" s="535"/>
    </row>
    <row r="735" spans="1:11">
      <c r="A735" s="517"/>
      <c r="B735" s="517"/>
      <c r="C735" s="517"/>
      <c r="D735" s="1287"/>
      <c r="E735" s="1287"/>
      <c r="F735" s="1287"/>
      <c r="H735" s="535"/>
      <c r="I735" s="517"/>
      <c r="J735" s="535"/>
      <c r="K735" s="535"/>
    </row>
    <row r="736" spans="1:11">
      <c r="A736" s="517"/>
      <c r="B736" s="517"/>
      <c r="C736" s="517"/>
      <c r="D736" s="1287"/>
      <c r="E736" s="1287"/>
      <c r="F736" s="1287"/>
      <c r="H736" s="535"/>
      <c r="I736" s="517"/>
      <c r="J736" s="535"/>
      <c r="K736" s="535"/>
    </row>
    <row r="737" spans="1:11">
      <c r="A737" s="517"/>
      <c r="B737" s="517"/>
      <c r="C737" s="517"/>
      <c r="D737" s="1287"/>
      <c r="E737" s="1287"/>
      <c r="F737" s="1287"/>
      <c r="H737" s="535"/>
      <c r="I737" s="517"/>
      <c r="J737" s="535"/>
      <c r="K737" s="535"/>
    </row>
    <row r="738" spans="1:11">
      <c r="A738" s="517"/>
      <c r="B738" s="517"/>
      <c r="C738" s="517"/>
      <c r="D738" s="1287"/>
      <c r="E738" s="1287"/>
      <c r="F738" s="1287"/>
      <c r="H738" s="535"/>
      <c r="I738" s="517"/>
      <c r="J738" s="535"/>
      <c r="K738" s="535"/>
    </row>
    <row r="739" spans="1:11">
      <c r="A739" s="517"/>
      <c r="B739" s="517"/>
      <c r="C739" s="517"/>
      <c r="D739" s="1299" t="s">
        <v>2391</v>
      </c>
      <c r="E739" s="1299"/>
      <c r="F739" s="1299"/>
      <c r="H739" s="535"/>
      <c r="I739" s="517"/>
      <c r="J739" s="535"/>
      <c r="K739" s="535"/>
    </row>
    <row r="740" spans="1:11">
      <c r="A740" s="517"/>
      <c r="B740" s="517"/>
      <c r="C740" s="517"/>
      <c r="D740" s="369"/>
      <c r="H740" s="535"/>
      <c r="I740" s="517"/>
      <c r="J740" s="535"/>
      <c r="K740" s="535"/>
    </row>
    <row r="741" spans="1:11">
      <c r="A741" s="1294" t="s">
        <v>1089</v>
      </c>
      <c r="B741" s="1294"/>
      <c r="C741" s="1294"/>
      <c r="D741" s="1294"/>
      <c r="E741" s="1294"/>
      <c r="F741" s="1294"/>
      <c r="G741" s="1294"/>
      <c r="H741" s="1065"/>
      <c r="I741" s="1260"/>
      <c r="J741" s="535"/>
      <c r="K741" s="535"/>
    </row>
    <row r="742" spans="1:11">
      <c r="A742" s="517"/>
      <c r="B742" s="517"/>
      <c r="C742" s="517"/>
      <c r="D742" s="526"/>
      <c r="G742" s="535"/>
      <c r="H742" s="535"/>
      <c r="I742" s="517"/>
      <c r="J742" s="535"/>
      <c r="K742" s="535"/>
    </row>
    <row r="743" spans="1:11" ht="13.7" customHeight="1">
      <c r="C743" s="517"/>
      <c r="D743" s="1315" t="s">
        <v>1105</v>
      </c>
      <c r="E743" s="1315"/>
      <c r="F743" s="1315"/>
      <c r="G743" s="535"/>
      <c r="H743" s="535"/>
      <c r="I743" s="517"/>
      <c r="J743" s="535"/>
      <c r="K743" s="535"/>
    </row>
    <row r="744" spans="1:11">
      <c r="A744" s="517"/>
      <c r="B744" s="517"/>
      <c r="C744" s="517"/>
      <c r="D744" s="1302" t="s">
        <v>1106</v>
      </c>
      <c r="E744" s="1302"/>
      <c r="F744" s="1302"/>
      <c r="G744" s="535"/>
      <c r="H744" s="535"/>
      <c r="I744" s="517"/>
      <c r="J744" s="535"/>
      <c r="K744" s="535"/>
    </row>
    <row r="745" spans="1:11">
      <c r="A745" s="517"/>
      <c r="B745" s="517"/>
      <c r="C745" s="517"/>
      <c r="G745" s="535"/>
      <c r="H745" s="535"/>
      <c r="I745" s="517"/>
      <c r="J745" s="535"/>
      <c r="K745" s="535"/>
    </row>
    <row r="746" spans="1:11" ht="14.25">
      <c r="A746" s="518"/>
      <c r="B746" s="519" t="s">
        <v>2802</v>
      </c>
      <c r="D746" s="1287" t="s">
        <v>1107</v>
      </c>
      <c r="E746" s="1287"/>
      <c r="F746" s="1287"/>
      <c r="G746" s="535"/>
      <c r="H746" s="535"/>
      <c r="I746" s="517" t="s">
        <v>2109</v>
      </c>
      <c r="J746" s="535"/>
      <c r="K746" s="535"/>
    </row>
    <row r="747" spans="1:11" ht="10.5" customHeight="1">
      <c r="D747" s="1287"/>
      <c r="E747" s="1287"/>
      <c r="F747" s="1287"/>
      <c r="G747" s="535"/>
      <c r="H747" s="535"/>
      <c r="I747" s="517"/>
      <c r="J747" s="535"/>
      <c r="K747" s="535"/>
    </row>
    <row r="748" spans="1:11">
      <c r="D748" s="1287"/>
      <c r="E748" s="1287"/>
      <c r="F748" s="1287"/>
      <c r="G748" s="535"/>
      <c r="H748" s="535"/>
      <c r="I748" s="517"/>
      <c r="J748" s="535"/>
      <c r="K748" s="535"/>
    </row>
    <row r="749" spans="1:11">
      <c r="D749" s="1287"/>
      <c r="E749" s="1287"/>
      <c r="F749" s="1287"/>
      <c r="G749" s="535"/>
      <c r="H749" s="535"/>
      <c r="I749" s="517"/>
      <c r="J749" s="535"/>
      <c r="K749" s="535"/>
    </row>
    <row r="750" spans="1:11">
      <c r="D750" s="1287"/>
      <c r="E750" s="1287"/>
      <c r="F750" s="1287"/>
      <c r="G750" s="535"/>
      <c r="H750" s="535"/>
      <c r="I750" s="517"/>
      <c r="J750" s="535"/>
      <c r="K750" s="535"/>
    </row>
    <row r="751" spans="1:11" ht="15.6" customHeight="1">
      <c r="D751" s="1287"/>
      <c r="E751" s="1287"/>
      <c r="F751" s="1287"/>
      <c r="G751" s="535"/>
      <c r="H751" s="535"/>
      <c r="I751" s="517"/>
      <c r="J751" s="535"/>
      <c r="K751" s="535"/>
    </row>
    <row r="752" spans="1:11">
      <c r="D752" s="533"/>
      <c r="E752" s="480"/>
      <c r="F752" s="480"/>
      <c r="G752" s="535"/>
      <c r="H752" s="535"/>
      <c r="I752" s="517"/>
      <c r="J752" s="535"/>
      <c r="K752" s="535"/>
    </row>
    <row r="753" spans="1:11" s="539" customFormat="1" ht="14.25">
      <c r="A753" s="537"/>
      <c r="B753" s="519" t="s">
        <v>2802</v>
      </c>
      <c r="C753" s="538"/>
      <c r="D753" s="1287" t="s">
        <v>1349</v>
      </c>
      <c r="E753" s="1287"/>
      <c r="F753" s="1287"/>
      <c r="I753" s="1261" t="s">
        <v>2109</v>
      </c>
    </row>
    <row r="754" spans="1:11" s="539" customFormat="1">
      <c r="A754" s="538"/>
      <c r="B754" s="538"/>
      <c r="C754" s="538"/>
      <c r="D754" s="1287"/>
      <c r="E754" s="1287"/>
      <c r="F754" s="1287"/>
      <c r="I754" s="1261"/>
    </row>
    <row r="755" spans="1:11" s="539" customFormat="1">
      <c r="A755" s="538"/>
      <c r="B755" s="538"/>
      <c r="C755" s="538"/>
      <c r="D755" s="1287"/>
      <c r="E755" s="1287"/>
      <c r="F755" s="1287"/>
      <c r="I755" s="1261"/>
    </row>
    <row r="756" spans="1:11" s="539" customFormat="1">
      <c r="A756" s="538"/>
      <c r="B756" s="538"/>
      <c r="C756" s="538"/>
      <c r="D756" s="1287"/>
      <c r="E756" s="1287"/>
      <c r="F756" s="1287"/>
      <c r="I756" s="1261"/>
    </row>
    <row r="757" spans="1:11" s="539" customFormat="1">
      <c r="A757" s="538"/>
      <c r="B757" s="538"/>
      <c r="C757" s="538"/>
      <c r="D757" s="533"/>
      <c r="I757" s="1261"/>
    </row>
    <row r="758" spans="1:11" s="539" customFormat="1" ht="14.25">
      <c r="A758" s="518"/>
      <c r="B758" s="519" t="s">
        <v>2803</v>
      </c>
      <c r="C758" s="538"/>
      <c r="D758" s="1289" t="s">
        <v>1350</v>
      </c>
      <c r="E758" s="1289"/>
      <c r="F758" s="1289"/>
      <c r="I758" s="1261" t="s">
        <v>2110</v>
      </c>
    </row>
    <row r="759" spans="1:11" s="539" customFormat="1">
      <c r="A759" s="538"/>
      <c r="B759" s="538"/>
      <c r="C759" s="538"/>
      <c r="D759" s="1289"/>
      <c r="E759" s="1289"/>
      <c r="F759" s="1289"/>
      <c r="I759" s="1261"/>
    </row>
    <row r="760" spans="1:11" s="539" customFormat="1">
      <c r="A760" s="538"/>
      <c r="B760" s="538"/>
      <c r="C760" s="538"/>
      <c r="D760" s="1289"/>
      <c r="E760" s="1289"/>
      <c r="F760" s="1289"/>
      <c r="I760" s="1261"/>
    </row>
    <row r="761" spans="1:11">
      <c r="D761" s="533"/>
      <c r="E761" s="480"/>
      <c r="F761" s="480"/>
      <c r="G761" s="535"/>
      <c r="H761" s="535"/>
      <c r="I761" s="517"/>
      <c r="J761" s="535"/>
      <c r="K761" s="535"/>
    </row>
    <row r="762" spans="1:11" ht="14.25">
      <c r="A762" s="518"/>
      <c r="B762" s="519" t="s">
        <v>2803</v>
      </c>
      <c r="D762" s="1287" t="s">
        <v>1305</v>
      </c>
      <c r="E762" s="1287"/>
      <c r="F762" s="1287"/>
      <c r="G762" s="535"/>
      <c r="H762" s="535"/>
      <c r="I762" s="517" t="s">
        <v>2109</v>
      </c>
      <c r="J762" s="535"/>
      <c r="K762" s="535"/>
    </row>
    <row r="763" spans="1:11">
      <c r="D763" s="1287"/>
      <c r="E763" s="1287"/>
      <c r="F763" s="1287"/>
      <c r="G763" s="535"/>
      <c r="H763" s="535"/>
      <c r="I763" s="517"/>
      <c r="J763" s="535"/>
      <c r="K763" s="535"/>
    </row>
    <row r="764" spans="1:11">
      <c r="D764" s="479"/>
      <c r="E764" s="479"/>
      <c r="F764" s="479"/>
      <c r="G764" s="535"/>
      <c r="H764" s="535"/>
      <c r="I764" s="517"/>
      <c r="J764" s="535"/>
      <c r="K764" s="535"/>
    </row>
    <row r="765" spans="1:11">
      <c r="B765" s="519" t="s">
        <v>2803</v>
      </c>
      <c r="D765" s="1287" t="s">
        <v>1322</v>
      </c>
      <c r="E765" s="1287"/>
      <c r="F765" s="1287"/>
      <c r="G765" s="535"/>
      <c r="H765" s="535"/>
      <c r="I765" s="517" t="s">
        <v>2109</v>
      </c>
      <c r="J765" s="535"/>
      <c r="K765" s="535"/>
    </row>
    <row r="766" spans="1:11">
      <c r="D766" s="1287"/>
      <c r="E766" s="1287"/>
      <c r="F766" s="1287"/>
      <c r="G766" s="535"/>
      <c r="H766" s="535"/>
      <c r="I766" s="517"/>
      <c r="J766" s="535"/>
      <c r="K766" s="535"/>
    </row>
    <row r="767" spans="1:11">
      <c r="D767" s="1287"/>
      <c r="E767" s="1287"/>
      <c r="F767" s="1287"/>
      <c r="G767" s="535"/>
      <c r="H767" s="535"/>
      <c r="I767" s="517"/>
      <c r="J767" s="535"/>
      <c r="K767" s="535"/>
    </row>
    <row r="768" spans="1:11">
      <c r="D768" s="479"/>
      <c r="E768" s="479"/>
      <c r="F768" s="479"/>
      <c r="G768" s="535"/>
      <c r="H768" s="535"/>
      <c r="I768" s="517"/>
      <c r="J768" s="535"/>
      <c r="K768" s="535"/>
    </row>
    <row r="769" spans="1:9">
      <c r="A769" s="1341" t="s">
        <v>1992</v>
      </c>
      <c r="B769" s="1341"/>
      <c r="C769" s="1341"/>
      <c r="D769" s="1341"/>
      <c r="E769" s="1341"/>
      <c r="F769" s="1341"/>
      <c r="G769" s="1341"/>
      <c r="H769" s="1063"/>
      <c r="I769" s="1256"/>
    </row>
    <row r="770" spans="1:9">
      <c r="A770" s="57"/>
      <c r="B770" s="57"/>
      <c r="C770" s="385"/>
      <c r="D770" s="3"/>
      <c r="E770" s="3"/>
      <c r="F770" s="3"/>
      <c r="G770" s="3"/>
      <c r="I770" s="524"/>
    </row>
    <row r="771" spans="1:9">
      <c r="A771" s="57"/>
      <c r="B771" s="57"/>
      <c r="C771" s="385"/>
      <c r="D771" s="1351" t="s">
        <v>2046</v>
      </c>
      <c r="E771" s="1351"/>
      <c r="F771" s="1351"/>
      <c r="G771" s="3"/>
      <c r="I771" s="524"/>
    </row>
    <row r="772" spans="1:9">
      <c r="A772" s="57"/>
      <c r="B772" s="57"/>
      <c r="C772" s="385"/>
      <c r="D772" s="1320" t="s">
        <v>1945</v>
      </c>
      <c r="E772" s="1320"/>
      <c r="F772" s="1320"/>
      <c r="G772" s="3"/>
      <c r="I772" s="524"/>
    </row>
    <row r="773" spans="1:9">
      <c r="A773" s="57"/>
      <c r="B773" s="57"/>
      <c r="C773" s="385"/>
      <c r="D773" s="481"/>
      <c r="E773" s="481"/>
      <c r="F773" s="481"/>
      <c r="G773" s="3"/>
      <c r="I773" s="524"/>
    </row>
    <row r="774" spans="1:9">
      <c r="A774" s="57"/>
      <c r="B774" s="519" t="s">
        <v>2802</v>
      </c>
      <c r="C774" s="385"/>
      <c r="D774" s="1305" t="s">
        <v>1946</v>
      </c>
      <c r="E774" s="1305"/>
      <c r="F774" s="1305"/>
      <c r="G774" s="3"/>
      <c r="I774" s="517" t="s">
        <v>2159</v>
      </c>
    </row>
    <row r="775" spans="1:9">
      <c r="A775" s="57"/>
      <c r="B775" s="57"/>
      <c r="C775" s="385"/>
      <c r="D775" s="1305"/>
      <c r="E775" s="1305"/>
      <c r="F775" s="1305"/>
      <c r="G775" s="3"/>
      <c r="I775" s="524"/>
    </row>
    <row r="776" spans="1:9">
      <c r="A776" s="175"/>
      <c r="B776" s="175"/>
      <c r="C776" s="175"/>
      <c r="D776" s="1305"/>
      <c r="E776" s="1305"/>
      <c r="F776" s="1305"/>
      <c r="G776" s="118"/>
      <c r="I776" s="524"/>
    </row>
    <row r="777" spans="1:9">
      <c r="A777" s="385"/>
      <c r="B777" s="385"/>
      <c r="C777" s="385"/>
      <c r="D777" s="174"/>
      <c r="E777" s="3"/>
      <c r="F777" s="3"/>
      <c r="G777" s="3"/>
      <c r="I777" s="524"/>
    </row>
    <row r="778" spans="1:9">
      <c r="A778" s="172"/>
      <c r="B778" s="519" t="s">
        <v>2803</v>
      </c>
      <c r="C778" s="172"/>
      <c r="D778" s="1305" t="s">
        <v>1947</v>
      </c>
      <c r="E778" s="1305"/>
      <c r="F778" s="1305"/>
      <c r="G778" s="3"/>
      <c r="I778" s="517" t="s">
        <v>2159</v>
      </c>
    </row>
    <row r="779" spans="1:9">
      <c r="A779" s="172"/>
      <c r="B779" s="172"/>
      <c r="C779" s="172"/>
      <c r="D779" s="1305"/>
      <c r="E779" s="1305"/>
      <c r="F779" s="1305"/>
      <c r="G779" s="3"/>
      <c r="I779" s="524"/>
    </row>
    <row r="780" spans="1:9">
      <c r="A780" s="172"/>
      <c r="B780" s="172"/>
      <c r="C780" s="172"/>
      <c r="D780" s="1305"/>
      <c r="E780" s="1305"/>
      <c r="F780" s="1305"/>
      <c r="G780" s="3"/>
      <c r="I780" s="524"/>
    </row>
    <row r="781" spans="1:9">
      <c r="A781" s="175"/>
      <c r="B781" s="175"/>
      <c r="C781" s="175"/>
      <c r="D781" s="3"/>
      <c r="E781" s="1023"/>
      <c r="F781" s="1023"/>
      <c r="G781" s="1023"/>
      <c r="I781" s="524"/>
    </row>
    <row r="782" spans="1:9" ht="14.25">
      <c r="A782" s="176"/>
      <c r="B782" s="519" t="s">
        <v>2803</v>
      </c>
      <c r="C782" s="1024"/>
      <c r="D782" s="1305" t="s">
        <v>1948</v>
      </c>
      <c r="E782" s="1305"/>
      <c r="F782" s="1305"/>
      <c r="G782" s="1023"/>
      <c r="I782" s="517" t="s">
        <v>2159</v>
      </c>
    </row>
    <row r="783" spans="1:9" ht="14.25">
      <c r="A783" s="176"/>
      <c r="B783" s="176"/>
      <c r="C783" s="1024"/>
      <c r="D783" s="1305"/>
      <c r="E783" s="1305"/>
      <c r="F783" s="1305"/>
      <c r="G783" s="1023"/>
      <c r="I783" s="524"/>
    </row>
    <row r="784" spans="1:9" ht="14.25">
      <c r="A784" s="176"/>
      <c r="B784" s="176"/>
      <c r="C784" s="1024"/>
      <c r="D784" s="1305"/>
      <c r="E784" s="1305"/>
      <c r="F784" s="1305"/>
      <c r="G784" s="1023"/>
      <c r="I784" s="524"/>
    </row>
    <row r="785" spans="1:9" ht="14.25">
      <c r="A785" s="176"/>
      <c r="B785" s="176"/>
      <c r="C785" s="1024"/>
      <c r="D785" s="118"/>
      <c r="E785" s="3"/>
      <c r="F785" s="3"/>
      <c r="G785" s="1023"/>
      <c r="I785" s="524"/>
    </row>
    <row r="786" spans="1:9" ht="14.25">
      <c r="A786" s="176"/>
      <c r="B786" s="519" t="s">
        <v>2803</v>
      </c>
      <c r="C786" s="1024"/>
      <c r="D786" s="1305" t="s">
        <v>1949</v>
      </c>
      <c r="E786" s="1305"/>
      <c r="F786" s="1305"/>
      <c r="G786" s="1023"/>
      <c r="I786" s="517" t="s">
        <v>2159</v>
      </c>
    </row>
    <row r="787" spans="1:9" ht="14.25">
      <c r="A787" s="176"/>
      <c r="B787" s="176"/>
      <c r="C787" s="1024"/>
      <c r="D787" s="1305"/>
      <c r="E787" s="1305"/>
      <c r="F787" s="1305"/>
      <c r="G787" s="1023"/>
      <c r="I787" s="524"/>
    </row>
    <row r="788" spans="1:9" ht="14.25">
      <c r="A788" s="176"/>
      <c r="B788" s="176"/>
      <c r="C788" s="1024"/>
      <c r="D788" s="1305"/>
      <c r="E788" s="1305"/>
      <c r="F788" s="1305"/>
      <c r="G788" s="1023"/>
      <c r="I788" s="524"/>
    </row>
    <row r="789" spans="1:9" ht="14.25">
      <c r="A789" s="176"/>
      <c r="B789" s="176"/>
      <c r="C789" s="1024"/>
      <c r="D789" s="1305"/>
      <c r="E789" s="1305"/>
      <c r="F789" s="1305"/>
      <c r="G789" s="1023"/>
      <c r="I789" s="524"/>
    </row>
    <row r="790" spans="1:9" ht="14.25">
      <c r="A790" s="176"/>
      <c r="B790" s="176"/>
      <c r="C790" s="1024"/>
      <c r="D790" s="1305"/>
      <c r="E790" s="1305"/>
      <c r="F790" s="1305"/>
      <c r="G790" s="1023"/>
      <c r="I790" s="524"/>
    </row>
    <row r="791" spans="1:9" ht="14.25">
      <c r="A791" s="176"/>
      <c r="B791" s="176"/>
      <c r="C791" s="1024"/>
      <c r="D791" s="1305"/>
      <c r="E791" s="1305"/>
      <c r="F791" s="1305"/>
      <c r="G791" s="1023"/>
      <c r="I791" s="524"/>
    </row>
    <row r="792" spans="1:9" ht="14.25">
      <c r="A792" s="176"/>
      <c r="B792" s="176"/>
      <c r="C792" s="1024"/>
      <c r="D792" s="1305" t="s">
        <v>1993</v>
      </c>
      <c r="E792" s="1305"/>
      <c r="F792" s="1305"/>
      <c r="G792" s="1023"/>
      <c r="I792" s="524"/>
    </row>
    <row r="793" spans="1:9" ht="14.25">
      <c r="A793" s="176"/>
      <c r="B793" s="176"/>
      <c r="C793" s="1024"/>
      <c r="D793" s="1305"/>
      <c r="E793" s="1305"/>
      <c r="F793" s="1305"/>
      <c r="G793" s="1023"/>
      <c r="I793" s="524"/>
    </row>
    <row r="794" spans="1:9" ht="14.25">
      <c r="A794" s="176"/>
      <c r="B794" s="176"/>
      <c r="C794" s="1024"/>
      <c r="D794" s="1305"/>
      <c r="E794" s="1305"/>
      <c r="F794" s="1305"/>
      <c r="G794" s="1023"/>
      <c r="I794" s="524"/>
    </row>
    <row r="795" spans="1:9" ht="14.25">
      <c r="A795" s="176"/>
      <c r="B795" s="385"/>
      <c r="C795" s="1024"/>
      <c r="D795" s="1025"/>
      <c r="E795" s="1025"/>
      <c r="F795" s="1025"/>
      <c r="G795" s="1023"/>
      <c r="I795" s="524"/>
    </row>
    <row r="796" spans="1:9" ht="14.25">
      <c r="A796" s="176"/>
      <c r="B796" s="519" t="s">
        <v>2803</v>
      </c>
      <c r="C796" s="1024"/>
      <c r="D796" s="1305" t="s">
        <v>1950</v>
      </c>
      <c r="E796" s="1305"/>
      <c r="F796" s="1305"/>
      <c r="G796" s="1023"/>
      <c r="I796" s="517" t="s">
        <v>2159</v>
      </c>
    </row>
    <row r="797" spans="1:9" ht="14.25">
      <c r="A797" s="176"/>
      <c r="B797" s="176"/>
      <c r="C797" s="1024"/>
      <c r="D797" s="1305"/>
      <c r="E797" s="1305"/>
      <c r="F797" s="1305"/>
      <c r="G797" s="1023"/>
      <c r="I797" s="524"/>
    </row>
    <row r="798" spans="1:9" ht="14.25">
      <c r="A798" s="176"/>
      <c r="B798" s="176"/>
      <c r="C798" s="1024"/>
      <c r="D798" s="1305"/>
      <c r="E798" s="1305"/>
      <c r="F798" s="1305"/>
      <c r="G798" s="1023"/>
      <c r="I798" s="524"/>
    </row>
    <row r="799" spans="1:9" ht="14.25">
      <c r="A799" s="176"/>
      <c r="B799" s="176"/>
      <c r="C799" s="1024"/>
      <c r="D799" s="1305"/>
      <c r="E799" s="1305"/>
      <c r="F799" s="1305"/>
      <c r="G799" s="1023"/>
      <c r="I799" s="524"/>
    </row>
    <row r="800" spans="1:9" ht="14.25">
      <c r="A800" s="176"/>
      <c r="B800" s="176"/>
      <c r="C800" s="1024"/>
      <c r="D800" s="1305"/>
      <c r="E800" s="1305"/>
      <c r="F800" s="1305"/>
      <c r="G800" s="1023"/>
      <c r="I800" s="524"/>
    </row>
    <row r="801" spans="1:9" ht="14.25">
      <c r="A801" s="176"/>
      <c r="B801" s="176"/>
      <c r="C801" s="1024"/>
      <c r="D801" s="1305"/>
      <c r="E801" s="1305"/>
      <c r="F801" s="1305"/>
      <c r="G801" s="1023"/>
      <c r="I801" s="524"/>
    </row>
    <row r="802" spans="1:9" ht="14.25">
      <c r="A802" s="176"/>
      <c r="B802" s="176"/>
      <c r="C802" s="1024"/>
      <c r="D802" s="1017"/>
      <c r="E802" s="1017"/>
      <c r="F802" s="1017"/>
      <c r="G802" s="1023"/>
      <c r="I802" s="524"/>
    </row>
    <row r="803" spans="1:9" ht="14.25">
      <c r="A803" s="176"/>
      <c r="B803" s="519" t="s">
        <v>2803</v>
      </c>
      <c r="C803" s="1024"/>
      <c r="D803" s="1305" t="s">
        <v>1951</v>
      </c>
      <c r="E803" s="1305"/>
      <c r="F803" s="1305"/>
      <c r="G803" s="1023"/>
      <c r="I803" s="517" t="s">
        <v>2159</v>
      </c>
    </row>
    <row r="804" spans="1:9" ht="14.25">
      <c r="A804" s="176"/>
      <c r="B804" s="176"/>
      <c r="C804" s="1024"/>
      <c r="D804" s="1305"/>
      <c r="E804" s="1305"/>
      <c r="F804" s="1305"/>
      <c r="G804" s="1023"/>
      <c r="I804" s="524"/>
    </row>
    <row r="805" spans="1:9" ht="14.25">
      <c r="A805" s="176"/>
      <c r="B805" s="176"/>
      <c r="C805" s="1024"/>
      <c r="D805" s="1305"/>
      <c r="E805" s="1305"/>
      <c r="F805" s="1305"/>
      <c r="G805" s="1023"/>
      <c r="I805" s="524"/>
    </row>
    <row r="806" spans="1:9" ht="14.25">
      <c r="A806" s="176"/>
      <c r="B806" s="176"/>
      <c r="C806" s="1024"/>
      <c r="D806" s="1305"/>
      <c r="E806" s="1305"/>
      <c r="F806" s="1305"/>
      <c r="G806" s="1023"/>
      <c r="I806" s="524"/>
    </row>
    <row r="807" spans="1:9" ht="14.25">
      <c r="A807" s="176"/>
      <c r="B807" s="176"/>
      <c r="C807" s="1024"/>
      <c r="D807" s="1305"/>
      <c r="E807" s="1305"/>
      <c r="F807" s="1305"/>
      <c r="G807" s="1023"/>
      <c r="I807" s="524"/>
    </row>
    <row r="808" spans="1:9" ht="14.25">
      <c r="A808" s="176"/>
      <c r="B808" s="176"/>
      <c r="C808" s="1024"/>
      <c r="D808" s="1305"/>
      <c r="E808" s="1305"/>
      <c r="F808" s="1305"/>
      <c r="G808" s="1023"/>
      <c r="I808" s="524"/>
    </row>
    <row r="809" spans="1:9" ht="14.25">
      <c r="A809" s="176"/>
      <c r="B809" s="176"/>
      <c r="C809" s="1024"/>
      <c r="D809" s="1017"/>
      <c r="E809" s="1017"/>
      <c r="F809" s="1017"/>
      <c r="G809" s="1023"/>
      <c r="I809" s="524"/>
    </row>
    <row r="810" spans="1:9" ht="14.25">
      <c r="A810" s="176"/>
      <c r="B810" s="519" t="s">
        <v>2803</v>
      </c>
      <c r="C810" s="1024"/>
      <c r="D810" s="1313" t="s">
        <v>1952</v>
      </c>
      <c r="E810" s="1313"/>
      <c r="F810" s="1313"/>
      <c r="G810" s="1023"/>
      <c r="I810" s="517" t="s">
        <v>2159</v>
      </c>
    </row>
    <row r="811" spans="1:9" ht="14.25">
      <c r="A811" s="176"/>
      <c r="B811" s="176"/>
      <c r="C811" s="1024"/>
      <c r="D811" s="1313"/>
      <c r="E811" s="1313"/>
      <c r="F811" s="1313"/>
      <c r="G811" s="1023"/>
      <c r="I811" s="524"/>
    </row>
    <row r="812" spans="1:9">
      <c r="A812" s="13"/>
      <c r="B812" s="13"/>
      <c r="C812" s="1024"/>
      <c r="D812" s="1313"/>
      <c r="E812" s="1313"/>
      <c r="F812" s="1313"/>
      <c r="G812" s="1023"/>
      <c r="I812" s="524"/>
    </row>
    <row r="813" spans="1:9" ht="14.25">
      <c r="A813" s="176"/>
      <c r="B813" s="13"/>
      <c r="C813" s="1024"/>
      <c r="D813" s="1313"/>
      <c r="E813" s="1313"/>
      <c r="F813" s="1313"/>
      <c r="G813" s="1023"/>
      <c r="I813" s="524"/>
    </row>
    <row r="814" spans="1:9" ht="12.75" customHeight="1">
      <c r="A814" s="176"/>
      <c r="B814" s="13"/>
      <c r="C814" s="1024"/>
      <c r="D814" s="1313"/>
      <c r="E814" s="1313"/>
      <c r="F814" s="1313"/>
      <c r="G814" s="1023"/>
      <c r="I814" s="524"/>
    </row>
    <row r="815" spans="1:9" ht="12.75" customHeight="1">
      <c r="A815" s="176"/>
      <c r="B815" s="13"/>
      <c r="C815" s="1024"/>
      <c r="D815" s="1313"/>
      <c r="E815" s="1313"/>
      <c r="F815" s="1313"/>
      <c r="G815" s="1023"/>
      <c r="I815" s="524"/>
    </row>
    <row r="816" spans="1:9" ht="12.75" customHeight="1">
      <c r="A816" s="13"/>
      <c r="B816" s="13"/>
      <c r="C816" s="1024"/>
      <c r="D816" s="1023"/>
      <c r="E816" s="3"/>
      <c r="F816" s="3"/>
      <c r="G816" s="1023"/>
      <c r="I816" s="524"/>
    </row>
    <row r="817" spans="1:9" ht="12.75" customHeight="1">
      <c r="A817" s="1300" t="s">
        <v>1953</v>
      </c>
      <c r="B817" s="1300"/>
      <c r="C817" s="1300"/>
      <c r="D817" s="1300"/>
      <c r="E817" s="1300"/>
      <c r="F817" s="1300"/>
      <c r="G817" s="1300"/>
      <c r="H817" s="1063"/>
      <c r="I817" s="1256"/>
    </row>
    <row r="818" spans="1:9" ht="12.75" customHeight="1">
      <c r="A818" s="172"/>
      <c r="B818" s="172"/>
      <c r="C818" s="1024"/>
      <c r="D818" s="1023"/>
      <c r="E818" s="1023"/>
      <c r="F818" s="1023"/>
      <c r="G818" s="1023"/>
      <c r="I818" s="524"/>
    </row>
    <row r="819" spans="1:9" ht="12.75" customHeight="1">
      <c r="A819" s="176"/>
      <c r="B819" s="176"/>
      <c r="C819" s="385"/>
      <c r="D819" s="1304" t="s">
        <v>1994</v>
      </c>
      <c r="E819" s="1304"/>
      <c r="F819" s="1304"/>
      <c r="G819" s="3"/>
      <c r="I819" s="524"/>
    </row>
    <row r="820" spans="1:9" ht="14.25" customHeight="1">
      <c r="A820" s="176"/>
      <c r="B820" s="176"/>
      <c r="C820" s="385"/>
      <c r="D820" s="1272" t="s">
        <v>1954</v>
      </c>
      <c r="E820" s="1272"/>
      <c r="F820" s="1272"/>
      <c r="G820" s="3"/>
      <c r="I820" s="524"/>
    </row>
    <row r="821" spans="1:9" ht="12.75" customHeight="1">
      <c r="A821" s="176"/>
      <c r="B821" s="176"/>
      <c r="C821" s="385"/>
      <c r="D821" s="474"/>
      <c r="E821" s="474"/>
      <c r="F821" s="474"/>
      <c r="G821" s="3"/>
      <c r="I821" s="524"/>
    </row>
    <row r="822" spans="1:9" ht="12.75" customHeight="1">
      <c r="A822" s="385"/>
      <c r="B822" s="519" t="s">
        <v>2802</v>
      </c>
      <c r="C822" s="1024"/>
      <c r="D822" s="1272" t="s">
        <v>1955</v>
      </c>
      <c r="E822" s="1272"/>
      <c r="F822" s="1272"/>
      <c r="G822" s="3"/>
      <c r="I822" s="524" t="s">
        <v>2127</v>
      </c>
    </row>
    <row r="823" spans="1:9" ht="14.25" customHeight="1">
      <c r="A823" s="13"/>
      <c r="B823" s="13"/>
      <c r="C823" s="1024"/>
      <c r="E823" s="1071" t="s">
        <v>2196</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9" t="s">
        <v>2392</v>
      </c>
      <c r="E825" s="1349"/>
      <c r="F825" s="1349"/>
      <c r="G825" s="3"/>
      <c r="I825" s="524"/>
    </row>
    <row r="826" spans="1:9" ht="12.75" hidden="1" customHeight="1">
      <c r="A826" s="13"/>
      <c r="B826" s="13"/>
      <c r="C826" s="1024"/>
      <c r="D826" s="1349"/>
      <c r="E826" s="1349"/>
      <c r="F826" s="1349"/>
      <c r="G826" s="3"/>
      <c r="I826" s="524"/>
    </row>
    <row r="827" spans="1:9" ht="12.75" hidden="1" customHeight="1">
      <c r="A827" s="13"/>
      <c r="B827" s="13"/>
      <c r="C827" s="1024"/>
      <c r="D827" s="1349"/>
      <c r="E827" s="1349"/>
      <c r="F827" s="1349"/>
      <c r="G827" s="3"/>
      <c r="I827" s="524"/>
    </row>
    <row r="828" spans="1:9" ht="12.75" hidden="1" customHeight="1">
      <c r="A828" s="13"/>
      <c r="B828" s="13"/>
      <c r="C828" s="1024"/>
      <c r="D828" s="1349"/>
      <c r="E828" s="1349"/>
      <c r="F828" s="1349"/>
      <c r="G828" s="3"/>
      <c r="I828" s="524"/>
    </row>
    <row r="829" spans="1:9" ht="12.75" hidden="1" customHeight="1">
      <c r="A829" s="13"/>
      <c r="B829" s="13"/>
      <c r="C829" s="1024"/>
      <c r="D829" s="1349"/>
      <c r="E829" s="1349"/>
      <c r="F829" s="1349"/>
      <c r="G829" s="3"/>
      <c r="I829" s="524"/>
    </row>
    <row r="830" spans="1:9" ht="12.75" hidden="1" customHeight="1">
      <c r="A830" s="13"/>
      <c r="B830" s="13"/>
      <c r="C830" s="1024"/>
      <c r="D830" s="1349"/>
      <c r="E830" s="1349"/>
      <c r="F830" s="1349"/>
      <c r="G830" s="3"/>
      <c r="I830" s="524"/>
    </row>
    <row r="831" spans="1:9" ht="12.75" hidden="1" customHeight="1">
      <c r="A831" s="13"/>
      <c r="B831" s="13"/>
      <c r="C831" s="1024"/>
      <c r="D831" s="1349"/>
      <c r="E831" s="1349"/>
      <c r="F831" s="1349"/>
      <c r="G831" s="3"/>
      <c r="I831" s="524"/>
    </row>
    <row r="832" spans="1:9" ht="12.75" hidden="1" customHeight="1">
      <c r="A832" s="13"/>
      <c r="B832" s="13"/>
      <c r="C832" s="1024"/>
      <c r="D832" s="1349"/>
      <c r="E832" s="1349"/>
      <c r="F832" s="1349"/>
      <c r="G832" s="3"/>
      <c r="I832" s="524"/>
    </row>
    <row r="833" spans="1:9" ht="12.75" hidden="1" customHeight="1">
      <c r="A833" s="13"/>
      <c r="B833" s="13"/>
      <c r="C833" s="1024"/>
      <c r="D833" s="1349"/>
      <c r="E833" s="1349"/>
      <c r="F833" s="1349"/>
      <c r="G833" s="3"/>
      <c r="I833" s="524"/>
    </row>
    <row r="834" spans="1:9" ht="12.75" hidden="1" customHeight="1">
      <c r="A834" s="13"/>
      <c r="B834" s="13"/>
      <c r="C834" s="1024"/>
      <c r="D834" s="1349"/>
      <c r="E834" s="1349"/>
      <c r="F834" s="1349"/>
      <c r="G834" s="3"/>
      <c r="I834" s="524"/>
    </row>
    <row r="835" spans="1:9" ht="12.75" hidden="1" customHeight="1">
      <c r="A835" s="13"/>
      <c r="B835" s="13"/>
      <c r="C835" s="1024"/>
      <c r="D835" s="1026"/>
      <c r="E835" s="3"/>
      <c r="F835" s="3"/>
      <c r="G835" s="3"/>
      <c r="I835" s="524"/>
    </row>
    <row r="836" spans="1:9" ht="12.75" customHeight="1">
      <c r="A836" s="176"/>
      <c r="B836" s="519" t="s">
        <v>2802</v>
      </c>
      <c r="C836" s="1024"/>
      <c r="D836" s="1272" t="s">
        <v>1956</v>
      </c>
      <c r="E836" s="1272"/>
      <c r="F836" s="1272"/>
      <c r="G836" s="3"/>
      <c r="I836" s="524" t="s">
        <v>2145</v>
      </c>
    </row>
    <row r="837" spans="1:9" ht="12.75" customHeight="1">
      <c r="A837" s="176"/>
      <c r="B837" s="176"/>
      <c r="C837" s="1024"/>
      <c r="D837" s="1272"/>
      <c r="E837" s="1272"/>
      <c r="F837" s="1272"/>
      <c r="G837" s="3"/>
      <c r="I837" s="524"/>
    </row>
    <row r="838" spans="1:9" ht="12.75" customHeight="1">
      <c r="A838" s="176"/>
      <c r="B838" s="176"/>
      <c r="C838" s="1024"/>
      <c r="D838" s="1272"/>
      <c r="E838" s="1272"/>
      <c r="F838" s="1272"/>
      <c r="G838" s="3"/>
      <c r="I838" s="524"/>
    </row>
    <row r="839" spans="1:9" ht="12.75" customHeight="1">
      <c r="A839" s="176"/>
      <c r="B839" s="176"/>
      <c r="C839" s="1024"/>
      <c r="D839" s="118"/>
      <c r="E839" s="3"/>
      <c r="F839" s="3"/>
      <c r="G839" s="3"/>
      <c r="I839" s="524"/>
    </row>
    <row r="840" spans="1:9" ht="12.75" customHeight="1">
      <c r="A840" s="1027"/>
      <c r="B840" s="519" t="s">
        <v>2803</v>
      </c>
      <c r="C840" s="1024"/>
      <c r="D840" s="1304" t="s">
        <v>1957</v>
      </c>
      <c r="E840" s="1304"/>
      <c r="F840" s="1304"/>
      <c r="G840" s="3"/>
      <c r="I840" s="524"/>
    </row>
    <row r="841" spans="1:9" ht="12.75" customHeight="1">
      <c r="A841" s="385"/>
      <c r="B841" s="1027"/>
      <c r="C841" s="1024"/>
      <c r="D841" s="1304"/>
      <c r="E841" s="1304"/>
      <c r="F841" s="1304"/>
      <c r="G841" s="3"/>
      <c r="I841" s="524"/>
    </row>
    <row r="842" spans="1:9" ht="12.75" customHeight="1">
      <c r="A842" s="176"/>
      <c r="B842" s="385"/>
      <c r="C842" s="1024"/>
      <c r="D842" s="1272" t="s">
        <v>2383</v>
      </c>
      <c r="E842" s="1272"/>
      <c r="F842" s="1272"/>
      <c r="G842" s="3"/>
      <c r="I842" s="524"/>
    </row>
    <row r="843" spans="1:9" ht="12.75" customHeight="1">
      <c r="A843" s="176"/>
      <c r="B843" s="176"/>
      <c r="C843" s="1024"/>
      <c r="D843" s="1272"/>
      <c r="E843" s="1272"/>
      <c r="F843" s="1272"/>
      <c r="G843" s="3"/>
      <c r="I843" s="524"/>
    </row>
    <row r="844" spans="1:9" ht="12.75" customHeight="1">
      <c r="A844" s="176"/>
      <c r="B844" s="176"/>
      <c r="C844" s="1024"/>
      <c r="D844" s="1272"/>
      <c r="E844" s="1272"/>
      <c r="F844" s="1272"/>
      <c r="G844" s="3"/>
      <c r="I844" s="524"/>
    </row>
    <row r="845" spans="1:9" ht="12.75" customHeight="1">
      <c r="A845" s="176"/>
      <c r="B845" s="176"/>
      <c r="C845" s="1024"/>
      <c r="D845" s="1272"/>
      <c r="E845" s="1272"/>
      <c r="F845" s="1272"/>
      <c r="G845" s="3"/>
      <c r="I845" s="524"/>
    </row>
    <row r="846" spans="1:9" ht="12.75" customHeight="1">
      <c r="A846" s="176"/>
      <c r="B846" s="176"/>
      <c r="C846" s="1024"/>
      <c r="D846" s="1272"/>
      <c r="E846" s="1272"/>
      <c r="F846" s="1272"/>
      <c r="G846" s="3"/>
      <c r="I846" s="524"/>
    </row>
    <row r="847" spans="1:9" ht="12.75" customHeight="1">
      <c r="A847" s="176"/>
      <c r="B847" s="176"/>
      <c r="C847" s="1024"/>
      <c r="D847" s="1272"/>
      <c r="E847" s="1272"/>
      <c r="F847" s="1272"/>
      <c r="G847" s="3"/>
      <c r="I847" s="524"/>
    </row>
    <row r="848" spans="1:9" ht="12.75" customHeight="1">
      <c r="A848" s="176"/>
      <c r="B848" s="176"/>
      <c r="C848" s="1024"/>
      <c r="D848" s="118"/>
      <c r="E848" s="3"/>
      <c r="F848" s="3"/>
      <c r="G848" s="3"/>
      <c r="I848" s="524"/>
    </row>
    <row r="849" spans="1:9" ht="12.75" customHeight="1">
      <c r="A849" s="176"/>
      <c r="B849" s="519" t="s">
        <v>2803</v>
      </c>
      <c r="C849" s="1024"/>
      <c r="D849" s="1272" t="s">
        <v>1958</v>
      </c>
      <c r="E849" s="1272"/>
      <c r="F849" s="1272"/>
      <c r="G849" s="3"/>
      <c r="I849" s="524" t="s">
        <v>2128</v>
      </c>
    </row>
    <row r="850" spans="1:9" ht="12.75" customHeight="1">
      <c r="A850" s="176"/>
      <c r="B850" s="176"/>
      <c r="C850" s="1024"/>
      <c r="D850" s="1272" t="s">
        <v>1959</v>
      </c>
      <c r="E850" s="1272"/>
      <c r="F850" s="1272"/>
      <c r="G850" s="3"/>
      <c r="I850" s="524"/>
    </row>
    <row r="851" spans="1:9" ht="12.75" customHeight="1">
      <c r="A851" s="176"/>
      <c r="B851" s="176"/>
      <c r="C851" s="1024"/>
      <c r="E851" s="1071" t="s">
        <v>2198</v>
      </c>
      <c r="F851" s="1073"/>
      <c r="G851" s="3"/>
      <c r="I851" s="524"/>
    </row>
    <row r="852" spans="1:9" ht="12.75" customHeight="1">
      <c r="A852" s="176"/>
      <c r="B852" s="176"/>
      <c r="C852" s="1024"/>
      <c r="D852" s="118"/>
      <c r="E852" s="3"/>
      <c r="F852" s="3"/>
      <c r="G852" s="3"/>
      <c r="I852" s="524"/>
    </row>
    <row r="853" spans="1:9" ht="12.75" customHeight="1">
      <c r="A853" s="176"/>
      <c r="B853" s="519" t="s">
        <v>2803</v>
      </c>
      <c r="C853" s="1024"/>
      <c r="D853" s="1272" t="s">
        <v>1960</v>
      </c>
      <c r="E853" s="1272"/>
      <c r="F853" s="1272"/>
      <c r="G853" s="3"/>
      <c r="I853" s="524" t="s">
        <v>2146</v>
      </c>
    </row>
    <row r="854" spans="1:9" ht="12.75" customHeight="1">
      <c r="A854" s="176"/>
      <c r="B854" s="176"/>
      <c r="C854" s="1024"/>
      <c r="D854" s="1272"/>
      <c r="E854" s="1272"/>
      <c r="F854" s="1272"/>
      <c r="G854" s="3"/>
      <c r="I854" s="524"/>
    </row>
    <row r="855" spans="1:9" ht="12.75" customHeight="1">
      <c r="A855" s="176"/>
      <c r="B855" s="176"/>
      <c r="C855" s="1024"/>
      <c r="D855" s="1272"/>
      <c r="E855" s="1272"/>
      <c r="F855" s="1272"/>
      <c r="G855" s="3"/>
      <c r="I855" s="524"/>
    </row>
    <row r="856" spans="1:9" ht="12.75" customHeight="1">
      <c r="A856" s="176"/>
      <c r="B856" s="176"/>
      <c r="C856" s="1024"/>
      <c r="D856" s="1272"/>
      <c r="E856" s="1272"/>
      <c r="F856" s="1272"/>
      <c r="G856" s="3"/>
      <c r="I856" s="524"/>
    </row>
    <row r="857" spans="1:9" ht="12.75" customHeight="1">
      <c r="A857" s="172"/>
      <c r="B857" s="172"/>
      <c r="C857" s="172"/>
      <c r="D857" s="118"/>
      <c r="E857" s="3"/>
      <c r="F857" s="3"/>
      <c r="G857" s="3"/>
      <c r="I857" s="524"/>
    </row>
    <row r="858" spans="1:9" ht="12.75" customHeight="1">
      <c r="A858" s="1018" t="s">
        <v>1961</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91" t="s">
        <v>1995</v>
      </c>
      <c r="E860" s="1291"/>
      <c r="F860" s="1291"/>
      <c r="G860" s="1023"/>
      <c r="I860" s="524"/>
    </row>
    <row r="861" spans="1:9" ht="12.75" customHeight="1">
      <c r="A861" s="385"/>
      <c r="B861" s="385"/>
      <c r="C861" s="175"/>
      <c r="D861" s="1348" t="s">
        <v>1962</v>
      </c>
      <c r="E861" s="1348"/>
      <c r="F861" s="1348"/>
      <c r="G861" s="1023"/>
      <c r="I861" s="524"/>
    </row>
    <row r="862" spans="1:9" ht="12.75" customHeight="1">
      <c r="A862" s="385"/>
      <c r="B862" s="385"/>
      <c r="C862" s="175"/>
      <c r="D862" s="1030"/>
      <c r="E862" s="1030"/>
      <c r="F862" s="1030"/>
      <c r="G862" s="1023"/>
      <c r="I862" s="524"/>
    </row>
    <row r="863" spans="1:9" ht="12.75" customHeight="1">
      <c r="A863" s="176"/>
      <c r="B863" s="519" t="s">
        <v>2802</v>
      </c>
      <c r="C863" s="385"/>
      <c r="D863" s="1292" t="s">
        <v>1963</v>
      </c>
      <c r="E863" s="1292"/>
      <c r="F863" s="1292"/>
      <c r="G863" s="1023"/>
      <c r="I863" s="524" t="s">
        <v>2128</v>
      </c>
    </row>
    <row r="864" spans="1:9" ht="12.75" customHeight="1">
      <c r="A864" s="385"/>
      <c r="B864" s="385"/>
      <c r="C864" s="385"/>
      <c r="D864" s="2" t="s">
        <v>1938</v>
      </c>
      <c r="E864" s="1071" t="s">
        <v>2198</v>
      </c>
      <c r="F864" s="1074"/>
      <c r="G864" s="1023"/>
      <c r="I864" s="524"/>
    </row>
    <row r="865" spans="1:9" ht="12.75" customHeight="1">
      <c r="A865" s="385"/>
      <c r="B865" s="385"/>
      <c r="C865" s="385"/>
      <c r="D865" s="118"/>
      <c r="E865" s="1023"/>
      <c r="F865" s="1023"/>
      <c r="G865" s="1023"/>
      <c r="I865" s="524"/>
    </row>
    <row r="866" spans="1:9" ht="12.75" customHeight="1">
      <c r="A866" s="176"/>
      <c r="B866" s="519" t="s">
        <v>2802</v>
      </c>
      <c r="C866" s="385"/>
      <c r="D866" s="1272" t="s">
        <v>1964</v>
      </c>
      <c r="E866" s="1321"/>
      <c r="F866" s="1321"/>
      <c r="G866" s="3"/>
      <c r="I866" s="524" t="s">
        <v>2146</v>
      </c>
    </row>
    <row r="867" spans="1:9" ht="12.75" customHeight="1">
      <c r="A867" s="385"/>
      <c r="B867" s="385"/>
      <c r="C867" s="385"/>
      <c r="D867" s="1321"/>
      <c r="E867" s="1321"/>
      <c r="F867" s="1321"/>
      <c r="G867" s="3"/>
      <c r="I867" s="524"/>
    </row>
    <row r="868" spans="1:9" ht="12.75" customHeight="1">
      <c r="A868" s="385"/>
      <c r="B868" s="385"/>
      <c r="C868" s="385"/>
      <c r="D868" s="118"/>
      <c r="E868" s="3"/>
      <c r="F868" s="3"/>
      <c r="G868" s="3"/>
      <c r="I868" s="524"/>
    </row>
    <row r="869" spans="1:9" ht="12.75" customHeight="1">
      <c r="A869" s="385"/>
      <c r="B869" s="519" t="s">
        <v>2803</v>
      </c>
      <c r="C869" s="385"/>
      <c r="D869" s="1352" t="s">
        <v>1965</v>
      </c>
      <c r="E869" s="1352"/>
      <c r="F869" s="1352"/>
      <c r="G869" s="1023"/>
      <c r="I869" s="524"/>
    </row>
    <row r="870" spans="1:9" ht="12.75" customHeight="1">
      <c r="A870" s="385"/>
      <c r="B870" s="1031"/>
      <c r="C870" s="385"/>
      <c r="D870" s="1352"/>
      <c r="E870" s="1352"/>
      <c r="F870" s="1352"/>
      <c r="G870" s="1023"/>
      <c r="I870" s="524"/>
    </row>
    <row r="871" spans="1:9" ht="12.75" customHeight="1">
      <c r="A871" s="176"/>
      <c r="B871"/>
      <c r="C871" s="385"/>
      <c r="D871" s="1272" t="s">
        <v>2383</v>
      </c>
      <c r="E871" s="1272"/>
      <c r="F871" s="1272"/>
      <c r="G871" s="1023"/>
      <c r="I871" s="524"/>
    </row>
    <row r="872" spans="1:9" ht="12.75" customHeight="1">
      <c r="A872" s="176"/>
      <c r="B872" s="176"/>
      <c r="C872" s="385"/>
      <c r="D872" s="1272"/>
      <c r="E872" s="1272"/>
      <c r="F872" s="1272"/>
      <c r="G872" s="1023"/>
      <c r="I872" s="524"/>
    </row>
    <row r="873" spans="1:9" ht="12.75" customHeight="1">
      <c r="A873" s="176"/>
      <c r="B873" s="176"/>
      <c r="C873" s="385"/>
      <c r="D873" s="1272"/>
      <c r="E873" s="1272"/>
      <c r="F873" s="1272"/>
      <c r="G873" s="1023"/>
      <c r="I873" s="524"/>
    </row>
    <row r="874" spans="1:9" ht="12.75" customHeight="1">
      <c r="A874" s="176"/>
      <c r="B874" s="176"/>
      <c r="C874" s="385"/>
      <c r="D874" s="1272"/>
      <c r="E874" s="1272"/>
      <c r="F874" s="1272"/>
      <c r="G874" s="1023"/>
      <c r="I874" s="524"/>
    </row>
    <row r="875" spans="1:9" ht="12.75" customHeight="1">
      <c r="A875" s="176"/>
      <c r="B875" s="176"/>
      <c r="C875" s="385"/>
      <c r="D875" s="1272"/>
      <c r="E875" s="1272"/>
      <c r="F875" s="1272"/>
      <c r="G875" s="1023"/>
      <c r="I875" s="524"/>
    </row>
    <row r="876" spans="1:9" ht="12.75" customHeight="1">
      <c r="A876" s="176"/>
      <c r="B876" s="176"/>
      <c r="C876" s="385"/>
      <c r="D876" s="1272"/>
      <c r="E876" s="1272"/>
      <c r="F876" s="1272"/>
      <c r="G876" s="1023"/>
      <c r="I876" s="524"/>
    </row>
    <row r="877" spans="1:9" ht="12.75" customHeight="1">
      <c r="A877" s="176"/>
      <c r="B877" s="176"/>
      <c r="C877" s="385"/>
      <c r="D877" s="118"/>
      <c r="E877" s="1023"/>
      <c r="F877" s="1023"/>
      <c r="G877" s="1023"/>
      <c r="I877" s="524"/>
    </row>
    <row r="878" spans="1:9" ht="12.75" customHeight="1">
      <c r="A878" s="176"/>
      <c r="B878" s="519" t="s">
        <v>2803</v>
      </c>
      <c r="C878" s="385"/>
      <c r="D878" s="1296" t="s">
        <v>1958</v>
      </c>
      <c r="E878" s="1296"/>
      <c r="F878" s="1296"/>
      <c r="G878" s="1023"/>
      <c r="I878" s="524" t="s">
        <v>2128</v>
      </c>
    </row>
    <row r="879" spans="1:9" ht="12.75" customHeight="1">
      <c r="A879" s="176"/>
      <c r="B879" s="176"/>
      <c r="C879" s="385"/>
      <c r="D879" s="1296" t="s">
        <v>1959</v>
      </c>
      <c r="E879" s="1296"/>
      <c r="F879" s="1296"/>
      <c r="G879" s="1023"/>
      <c r="I879" s="524"/>
    </row>
    <row r="880" spans="1:9" ht="12.75" customHeight="1">
      <c r="A880" s="176"/>
      <c r="B880" s="176"/>
      <c r="C880" s="385"/>
      <c r="D880" s="2" t="s">
        <v>1380</v>
      </c>
      <c r="E880" s="1071" t="s">
        <v>2198</v>
      </c>
      <c r="F880" s="1075"/>
      <c r="G880" s="1023"/>
      <c r="I880" s="524"/>
    </row>
    <row r="881" spans="1:9" ht="12.75" customHeight="1">
      <c r="A881" s="176"/>
      <c r="B881" s="176"/>
      <c r="C881" s="385"/>
      <c r="D881" s="118"/>
      <c r="E881" s="1023"/>
      <c r="F881" s="1023"/>
      <c r="G881" s="1023"/>
      <c r="I881" s="524"/>
    </row>
    <row r="882" spans="1:9" ht="12.75" customHeight="1">
      <c r="A882" s="176"/>
      <c r="B882" s="519" t="s">
        <v>2803</v>
      </c>
      <c r="C882" s="385"/>
      <c r="D882" s="1272" t="s">
        <v>1960</v>
      </c>
      <c r="E882" s="1272"/>
      <c r="F882" s="1272"/>
      <c r="G882" s="1023"/>
      <c r="I882" s="524" t="s">
        <v>2146</v>
      </c>
    </row>
    <row r="883" spans="1:9" ht="12.75" customHeight="1">
      <c r="A883" s="176"/>
      <c r="B883" s="176"/>
      <c r="C883" s="385"/>
      <c r="D883" s="1272"/>
      <c r="E883" s="1272"/>
      <c r="F883" s="1272"/>
      <c r="G883" s="1023"/>
      <c r="I883" s="524"/>
    </row>
    <row r="884" spans="1:9" ht="12.75" customHeight="1">
      <c r="A884" s="176"/>
      <c r="B884" s="176"/>
      <c r="C884" s="385"/>
      <c r="D884" s="1272"/>
      <c r="E884" s="1272"/>
      <c r="F884" s="1272"/>
      <c r="G884" s="1023"/>
      <c r="I884" s="524"/>
    </row>
    <row r="885" spans="1:9" ht="12.75" customHeight="1">
      <c r="A885" s="176"/>
      <c r="B885" s="176"/>
      <c r="C885" s="385"/>
      <c r="D885" s="1272"/>
      <c r="E885" s="1272"/>
      <c r="F885" s="1272"/>
      <c r="G885" s="1023"/>
      <c r="I885" s="524"/>
    </row>
    <row r="886" spans="1:9" ht="12.75" customHeight="1">
      <c r="A886" s="118"/>
      <c r="B886" s="118"/>
      <c r="C886" s="1024"/>
      <c r="D886" s="1023"/>
      <c r="E886" s="1023"/>
      <c r="F886" s="1023"/>
      <c r="G886" s="1023"/>
      <c r="I886" s="524"/>
    </row>
    <row r="887" spans="1:9" ht="12.75" customHeight="1">
      <c r="A887" s="1300" t="s">
        <v>1996</v>
      </c>
      <c r="B887" s="1300"/>
      <c r="C887" s="1300"/>
      <c r="D887" s="1300"/>
      <c r="E887" s="1300"/>
      <c r="F887" s="1300"/>
      <c r="G887" s="1300"/>
      <c r="H887" s="1063"/>
      <c r="I887" s="1256"/>
    </row>
    <row r="888" spans="1:9" ht="12.75" customHeight="1">
      <c r="A888" s="57"/>
      <c r="B888" s="57"/>
      <c r="C888" s="57"/>
      <c r="D888" s="57"/>
      <c r="E888" s="57"/>
      <c r="F888" s="57"/>
      <c r="G888" s="57"/>
      <c r="I888" s="524"/>
    </row>
    <row r="889" spans="1:9" ht="12.75" customHeight="1">
      <c r="A889" s="57"/>
      <c r="B889" s="57"/>
      <c r="C889" s="57"/>
      <c r="D889" s="1306" t="s">
        <v>2002</v>
      </c>
      <c r="E889" s="1306"/>
      <c r="F889" s="1306"/>
      <c r="G889" s="57"/>
      <c r="I889" s="524"/>
    </row>
    <row r="890" spans="1:9" ht="12.75" customHeight="1">
      <c r="A890" s="57"/>
      <c r="B890" s="57"/>
      <c r="C890" s="57"/>
      <c r="D890" s="1016"/>
      <c r="E890" s="1016"/>
      <c r="F890" s="1016"/>
      <c r="G890" s="57"/>
      <c r="I890" s="524"/>
    </row>
    <row r="891" spans="1:9" ht="12.75" customHeight="1">
      <c r="A891" s="57"/>
      <c r="B891" s="519" t="s">
        <v>2802</v>
      </c>
      <c r="C891" s="57"/>
      <c r="D891" s="1019" t="s">
        <v>2003</v>
      </c>
      <c r="E891" s="1016"/>
      <c r="F891" s="1016"/>
      <c r="G891" s="57"/>
      <c r="I891" s="524" t="s">
        <v>2160</v>
      </c>
    </row>
    <row r="892" spans="1:9" ht="12.75" customHeight="1">
      <c r="A892" s="57"/>
      <c r="B892" s="57"/>
      <c r="C892" s="57"/>
      <c r="D892" s="1016"/>
      <c r="E892" s="1016"/>
      <c r="F892" s="1016"/>
      <c r="G892" s="57"/>
      <c r="I892" s="524"/>
    </row>
    <row r="893" spans="1:9" ht="12.75" customHeight="1">
      <c r="A893" s="385"/>
      <c r="B893" s="385"/>
      <c r="C893" s="1024"/>
      <c r="D893" s="1306" t="s">
        <v>1997</v>
      </c>
      <c r="E893" s="1306"/>
      <c r="F893" s="1306"/>
      <c r="G893" s="1023"/>
      <c r="I893" s="524"/>
    </row>
    <row r="894" spans="1:9" ht="12.75" customHeight="1">
      <c r="A894" s="172"/>
      <c r="B894" s="172"/>
      <c r="C894" s="172"/>
      <c r="D894" s="1292" t="s">
        <v>1966</v>
      </c>
      <c r="E894" s="1292"/>
      <c r="F894" s="1292"/>
      <c r="G894" s="1023"/>
      <c r="I894" s="524"/>
    </row>
    <row r="895" spans="1:9" ht="12.75" customHeight="1">
      <c r="A895" s="1024"/>
      <c r="B895" s="1024"/>
      <c r="C895" s="1024"/>
      <c r="D895" s="2"/>
      <c r="E895" s="1023"/>
      <c r="F895" s="1023"/>
      <c r="G895" s="1023"/>
      <c r="I895" s="524"/>
    </row>
    <row r="896" spans="1:9" ht="12.75" customHeight="1">
      <c r="A896" s="176"/>
      <c r="B896" s="519" t="s">
        <v>2802</v>
      </c>
      <c r="C896" s="385"/>
      <c r="D896" s="1272" t="s">
        <v>1970</v>
      </c>
      <c r="E896" s="1272"/>
      <c r="F896" s="1272"/>
      <c r="G896" s="3"/>
      <c r="I896" s="524" t="s">
        <v>2112</v>
      </c>
    </row>
    <row r="897" spans="1:9" ht="12.75" customHeight="1">
      <c r="A897" s="385"/>
      <c r="B897" s="385"/>
      <c r="C897" s="385"/>
      <c r="D897" s="1272"/>
      <c r="E897" s="1272"/>
      <c r="F897" s="1272"/>
      <c r="G897" s="3"/>
      <c r="I897" s="524"/>
    </row>
    <row r="898" spans="1:9" ht="12.75" customHeight="1">
      <c r="A898" s="172"/>
      <c r="B898" s="172"/>
      <c r="C898" s="172"/>
      <c r="D898" s="1272" t="s">
        <v>1969</v>
      </c>
      <c r="E898" s="1272"/>
      <c r="F898" s="1272"/>
      <c r="G898" s="1023"/>
      <c r="I898" s="524"/>
    </row>
    <row r="899" spans="1:9" ht="12.75" customHeight="1">
      <c r="A899" s="172"/>
      <c r="B899" s="172"/>
      <c r="C899" s="172"/>
      <c r="D899" s="1272"/>
      <c r="E899" s="1272"/>
      <c r="F899" s="1272"/>
      <c r="G899" s="1023"/>
      <c r="I899" s="524"/>
    </row>
    <row r="900" spans="1:9" ht="12.75" customHeight="1">
      <c r="A900" s="172"/>
      <c r="B900" s="172"/>
      <c r="C900" s="172"/>
      <c r="D900" s="3"/>
      <c r="E900" s="3"/>
      <c r="F900" s="1023"/>
      <c r="G900" s="1023"/>
      <c r="I900" s="524"/>
    </row>
    <row r="901" spans="1:9" ht="12.75" customHeight="1">
      <c r="A901" s="176"/>
      <c r="B901" s="519" t="s">
        <v>2802</v>
      </c>
      <c r="C901" s="175"/>
      <c r="D901" s="1276" t="s">
        <v>1967</v>
      </c>
      <c r="E901" s="1276"/>
      <c r="F901" s="1276"/>
      <c r="G901" s="1023"/>
      <c r="I901" s="524" t="s">
        <v>2111</v>
      </c>
    </row>
    <row r="902" spans="1:9" ht="12.75" customHeight="1">
      <c r="A902" s="176"/>
      <c r="B902" s="176"/>
      <c r="C902" s="175"/>
      <c r="D902" s="1276"/>
      <c r="E902" s="1276"/>
      <c r="F902" s="1276"/>
      <c r="G902" s="1023"/>
      <c r="I902" s="524"/>
    </row>
    <row r="903" spans="1:9" ht="12.75" customHeight="1">
      <c r="A903" s="176"/>
      <c r="B903" s="176"/>
      <c r="C903" s="175"/>
      <c r="D903" s="1276"/>
      <c r="E903" s="1276"/>
      <c r="F903" s="1276"/>
      <c r="G903" s="1023"/>
      <c r="I903" s="524"/>
    </row>
    <row r="904" spans="1:9" ht="12.75" customHeight="1">
      <c r="A904" s="176"/>
      <c r="B904" s="176"/>
      <c r="C904" s="175"/>
      <c r="D904" s="1276"/>
      <c r="E904" s="1276"/>
      <c r="F904" s="1276"/>
      <c r="G904" s="1023"/>
      <c r="I904" s="524"/>
    </row>
    <row r="905" spans="1:9" ht="12.75" customHeight="1">
      <c r="A905" s="176"/>
      <c r="B905" s="176"/>
      <c r="C905" s="175"/>
      <c r="D905" s="1276"/>
      <c r="E905" s="1276"/>
      <c r="F905" s="1276"/>
      <c r="G905" s="1023"/>
      <c r="I905" s="524"/>
    </row>
    <row r="906" spans="1:9" ht="12.75" customHeight="1">
      <c r="A906" s="175"/>
      <c r="B906" s="175"/>
      <c r="C906" s="175"/>
      <c r="D906" s="1276"/>
      <c r="E906" s="1276"/>
      <c r="F906" s="1276"/>
      <c r="G906" s="1023"/>
      <c r="I906" s="524"/>
    </row>
    <row r="907" spans="1:9" ht="12.75" customHeight="1">
      <c r="A907" s="175"/>
      <c r="B907" s="175"/>
      <c r="C907" s="175"/>
      <c r="D907" s="1276"/>
      <c r="E907" s="1276"/>
      <c r="F907" s="1276"/>
      <c r="G907" s="1023"/>
      <c r="I907" s="524"/>
    </row>
    <row r="908" spans="1:9" ht="12.75" customHeight="1">
      <c r="A908" s="175"/>
      <c r="B908" s="175"/>
      <c r="C908" s="175"/>
      <c r="D908" s="1276"/>
      <c r="E908" s="1276"/>
      <c r="F908" s="1276"/>
      <c r="G908" s="1023"/>
      <c r="I908" s="524"/>
    </row>
    <row r="909" spans="1:9" ht="12.75" customHeight="1">
      <c r="A909" s="175"/>
      <c r="B909" s="175"/>
      <c r="C909" s="175"/>
      <c r="D909" s="363"/>
      <c r="E909" s="363"/>
      <c r="F909" s="363"/>
      <c r="G909" s="1023"/>
      <c r="I909" s="524"/>
    </row>
    <row r="910" spans="1:9" ht="12.75" customHeight="1">
      <c r="A910" s="1024"/>
      <c r="B910" s="519" t="s">
        <v>2803</v>
      </c>
      <c r="C910" s="1024"/>
      <c r="D910" s="1272" t="s">
        <v>1971</v>
      </c>
      <c r="E910" s="1272"/>
      <c r="F910" s="1272"/>
      <c r="G910" s="1023"/>
      <c r="I910" s="524"/>
    </row>
    <row r="911" spans="1:9" ht="12.75" customHeight="1">
      <c r="A911" s="1024"/>
      <c r="B911" s="1024"/>
      <c r="C911" s="1024"/>
      <c r="D911" s="1272"/>
      <c r="E911" s="1272"/>
      <c r="F911" s="1272"/>
      <c r="G911" s="1023"/>
      <c r="I911" s="524"/>
    </row>
    <row r="912" spans="1:9" ht="12.75" customHeight="1">
      <c r="A912" s="1024"/>
      <c r="B912" s="1024"/>
      <c r="C912" s="1024"/>
      <c r="D912" s="1023"/>
      <c r="E912" s="1023"/>
      <c r="F912" s="1023"/>
      <c r="G912" s="1023"/>
      <c r="I912" s="524"/>
    </row>
    <row r="913" spans="1:9" ht="12.75" customHeight="1">
      <c r="A913" s="1024"/>
      <c r="B913" s="519" t="s">
        <v>2803</v>
      </c>
      <c r="C913" s="1024"/>
      <c r="D913" s="1313" t="s">
        <v>1972</v>
      </c>
      <c r="E913" s="1313"/>
      <c r="F913" s="1313"/>
      <c r="G913" s="1023"/>
      <c r="I913" s="524"/>
    </row>
    <row r="914" spans="1:9" ht="12.75" customHeight="1">
      <c r="A914" s="1024"/>
      <c r="B914" s="1024"/>
      <c r="C914" s="1024"/>
      <c r="D914" s="1313"/>
      <c r="E914" s="1313"/>
      <c r="F914" s="1313"/>
      <c r="G914" s="1023"/>
      <c r="I914" s="524"/>
    </row>
    <row r="915" spans="1:9" ht="12.75" customHeight="1">
      <c r="A915" s="1024"/>
      <c r="B915" s="1024"/>
      <c r="C915" s="1024"/>
      <c r="D915" s="1313"/>
      <c r="E915" s="1313"/>
      <c r="F915" s="1313"/>
      <c r="G915" s="1023"/>
      <c r="I915" s="524"/>
    </row>
    <row r="916" spans="1:9" ht="12.75" customHeight="1">
      <c r="A916" s="1024"/>
      <c r="B916" s="1024"/>
      <c r="C916" s="1024"/>
      <c r="D916" s="1313"/>
      <c r="E916" s="1313"/>
      <c r="F916" s="1313"/>
      <c r="G916" s="1023"/>
      <c r="I916" s="524"/>
    </row>
    <row r="917" spans="1:9" ht="12.75" customHeight="1">
      <c r="A917" s="1024"/>
      <c r="B917" s="1024"/>
      <c r="C917" s="1024"/>
      <c r="D917" s="118"/>
      <c r="E917" s="1023"/>
      <c r="F917" s="1023"/>
      <c r="G917" s="1023"/>
      <c r="I917" s="524"/>
    </row>
    <row r="918" spans="1:9" ht="12.75" customHeight="1">
      <c r="A918" s="1024"/>
      <c r="B918" s="519" t="s">
        <v>2803</v>
      </c>
      <c r="C918" s="1024"/>
      <c r="D918" s="1292" t="s">
        <v>2384</v>
      </c>
      <c r="E918" s="1292"/>
      <c r="F918" s="1292"/>
      <c r="G918" s="1023"/>
      <c r="I918" s="524"/>
    </row>
    <row r="919" spans="1:9" ht="12.75" customHeight="1">
      <c r="A919" s="1024"/>
      <c r="B919" s="1024"/>
      <c r="C919" s="1024"/>
      <c r="D919" s="118"/>
      <c r="E919" s="1023"/>
      <c r="F919" s="1023"/>
      <c r="G919" s="1023"/>
      <c r="I919" s="524"/>
    </row>
    <row r="920" spans="1:9" ht="12.75" customHeight="1">
      <c r="A920" s="1024"/>
      <c r="B920" s="519" t="s">
        <v>2803</v>
      </c>
      <c r="C920" s="1024"/>
      <c r="D920" s="1292" t="s">
        <v>2385</v>
      </c>
      <c r="E920" s="1292"/>
      <c r="F920" s="1292"/>
      <c r="G920" s="1023"/>
      <c r="I920" s="524"/>
    </row>
    <row r="921" spans="1:9" ht="12.75" customHeight="1">
      <c r="A921" s="175"/>
      <c r="B921" s="175"/>
      <c r="C921" s="175"/>
      <c r="D921" s="2"/>
      <c r="E921" s="3"/>
      <c r="F921" s="1023"/>
      <c r="G921" s="1023"/>
      <c r="I921" s="524"/>
    </row>
    <row r="922" spans="1:9" ht="12.75" customHeight="1">
      <c r="A922" s="1032"/>
      <c r="B922" s="519" t="s">
        <v>2802</v>
      </c>
      <c r="C922" s="1033"/>
      <c r="D922" s="1276" t="s">
        <v>1968</v>
      </c>
      <c r="E922" s="1276"/>
      <c r="F922" s="1276"/>
      <c r="G922" s="1034"/>
      <c r="I922" s="524" t="s">
        <v>2161</v>
      </c>
    </row>
    <row r="923" spans="1:9" ht="12.75" customHeight="1">
      <c r="A923" s="1032"/>
      <c r="B923" s="1032"/>
      <c r="C923" s="1033"/>
      <c r="D923" s="1276"/>
      <c r="E923" s="1276"/>
      <c r="F923" s="1276"/>
      <c r="G923" s="1034"/>
      <c r="I923" s="524"/>
    </row>
    <row r="924" spans="1:9" ht="12.75" customHeight="1">
      <c r="A924" s="1032"/>
      <c r="B924" s="1032"/>
      <c r="C924" s="1033"/>
      <c r="D924" s="1276"/>
      <c r="E924" s="1276"/>
      <c r="F924" s="1276"/>
      <c r="G924" s="1034"/>
      <c r="I924" s="524"/>
    </row>
    <row r="925" spans="1:9" ht="12.75" customHeight="1">
      <c r="A925" s="1032"/>
      <c r="B925" s="1032"/>
      <c r="C925" s="1033"/>
      <c r="D925" s="1276"/>
      <c r="E925" s="1276"/>
      <c r="F925" s="1276"/>
      <c r="G925" s="1034"/>
      <c r="I925" s="524"/>
    </row>
    <row r="926" spans="1:9" ht="12.75" customHeight="1">
      <c r="A926" s="1032"/>
      <c r="B926" s="1032"/>
      <c r="C926" s="1033"/>
      <c r="D926" s="1276"/>
      <c r="E926" s="1276"/>
      <c r="F926" s="1276"/>
      <c r="G926" s="1034"/>
      <c r="I926" s="524"/>
    </row>
    <row r="927" spans="1:9" ht="12.75" customHeight="1">
      <c r="A927" s="1032"/>
      <c r="B927" s="1032"/>
      <c r="C927" s="1033"/>
      <c r="D927" s="1276"/>
      <c r="E927" s="1276"/>
      <c r="F927" s="1276"/>
      <c r="G927" s="1034"/>
      <c r="I927" s="524"/>
    </row>
    <row r="928" spans="1:9" ht="12.75" customHeight="1">
      <c r="A928" s="1032"/>
      <c r="B928" s="1032"/>
      <c r="C928" s="1033"/>
      <c r="D928" s="1276"/>
      <c r="E928" s="1276"/>
      <c r="F928" s="1276"/>
      <c r="G928" s="1034"/>
      <c r="I928" s="524"/>
    </row>
    <row r="929" spans="1:9" ht="12.75" customHeight="1">
      <c r="A929" s="1032"/>
      <c r="B929" s="1032"/>
      <c r="C929" s="1033"/>
      <c r="D929" s="1276"/>
      <c r="E929" s="1276"/>
      <c r="F929" s="1276"/>
      <c r="G929" s="1034"/>
      <c r="I929" s="524"/>
    </row>
    <row r="930" spans="1:9" ht="12.75" customHeight="1">
      <c r="A930" s="1032"/>
      <c r="B930" s="1032"/>
      <c r="C930" s="1033"/>
      <c r="D930" s="1276"/>
      <c r="E930" s="1276"/>
      <c r="F930" s="1276"/>
      <c r="G930" s="1034"/>
      <c r="I930" s="524"/>
    </row>
    <row r="931" spans="1:9" ht="12.75" customHeight="1">
      <c r="A931" s="175"/>
      <c r="B931" s="175"/>
      <c r="C931" s="175"/>
      <c r="D931" s="2"/>
      <c r="E931" s="3"/>
      <c r="F931" s="1023"/>
      <c r="G931" s="1023"/>
      <c r="I931" s="524"/>
    </row>
    <row r="932" spans="1:9" ht="12.75" customHeight="1">
      <c r="A932" s="176"/>
      <c r="B932" s="519" t="s">
        <v>2802</v>
      </c>
      <c r="C932" s="175"/>
      <c r="D932" s="1353" t="s">
        <v>2163</v>
      </c>
      <c r="E932" s="1353"/>
      <c r="F932" s="1353"/>
      <c r="G932" s="1023"/>
      <c r="I932" s="524" t="s">
        <v>2161</v>
      </c>
    </row>
    <row r="933" spans="1:9" ht="12.75" customHeight="1">
      <c r="A933" s="176"/>
      <c r="B933" s="176"/>
      <c r="C933" s="175"/>
      <c r="D933" s="1353"/>
      <c r="E933" s="1353"/>
      <c r="F933" s="1353"/>
      <c r="G933" s="1023"/>
      <c r="I933" s="524"/>
    </row>
    <row r="934" spans="1:9" ht="12.75" customHeight="1">
      <c r="A934" s="176"/>
      <c r="B934" s="176"/>
      <c r="C934" s="175"/>
      <c r="D934" s="1353"/>
      <c r="E934" s="1353"/>
      <c r="F934" s="1353"/>
      <c r="G934" s="1023"/>
      <c r="I934" s="524"/>
    </row>
    <row r="935" spans="1:9" ht="12.75" customHeight="1">
      <c r="A935" s="176"/>
      <c r="B935" s="176"/>
      <c r="C935" s="175"/>
      <c r="D935" s="1353"/>
      <c r="E935" s="1353"/>
      <c r="F935" s="1353"/>
      <c r="G935" s="1023"/>
      <c r="I935" s="524"/>
    </row>
    <row r="936" spans="1:9" ht="12.75" customHeight="1">
      <c r="A936" s="176"/>
      <c r="B936" s="176"/>
      <c r="C936" s="175"/>
      <c r="D936" s="1353"/>
      <c r="E936" s="1353"/>
      <c r="F936" s="1353"/>
      <c r="G936" s="1023"/>
      <c r="I936" s="524"/>
    </row>
    <row r="937" spans="1:9" ht="12.75" customHeight="1">
      <c r="A937" s="176"/>
      <c r="B937" s="176"/>
      <c r="C937" s="175"/>
      <c r="D937" s="1353"/>
      <c r="E937" s="1353"/>
      <c r="F937" s="1353"/>
      <c r="G937" s="1023"/>
      <c r="I937" s="524"/>
    </row>
    <row r="938" spans="1:9" ht="12.75" customHeight="1">
      <c r="A938" s="176"/>
      <c r="B938" s="176"/>
      <c r="C938" s="175"/>
      <c r="D938" s="1353"/>
      <c r="E938" s="1353"/>
      <c r="F938" s="1353"/>
      <c r="G938" s="1023"/>
      <c r="I938" s="524"/>
    </row>
    <row r="939" spans="1:9" ht="12.75" customHeight="1">
      <c r="A939" s="176"/>
      <c r="B939" s="176"/>
      <c r="C939" s="175"/>
      <c r="D939" s="1061"/>
      <c r="E939" s="1061"/>
      <c r="F939" s="1061"/>
      <c r="G939" s="1023"/>
      <c r="I939" s="524"/>
    </row>
    <row r="940" spans="1:9" ht="12.75" customHeight="1">
      <c r="A940" s="176"/>
      <c r="B940" s="519" t="s">
        <v>2803</v>
      </c>
      <c r="C940" s="175"/>
      <c r="D940" s="1275" t="s">
        <v>2457</v>
      </c>
      <c r="E940" s="1275"/>
      <c r="F940" s="1275"/>
      <c r="G940" s="1023"/>
      <c r="I940" s="524"/>
    </row>
    <row r="941" spans="1:9" ht="12.75" customHeight="1">
      <c r="A941" s="176"/>
      <c r="B941" s="176"/>
      <c r="C941" s="175"/>
      <c r="D941" s="1275"/>
      <c r="E941" s="1275"/>
      <c r="F941" s="1275"/>
      <c r="G941" s="1023"/>
      <c r="I941" s="524"/>
    </row>
    <row r="942" spans="1:9" ht="12.75" customHeight="1">
      <c r="A942" s="176"/>
      <c r="B942" s="176"/>
      <c r="C942" s="175"/>
      <c r="D942" s="1275"/>
      <c r="E942" s="1275"/>
      <c r="F942" s="1275"/>
      <c r="G942" s="1023"/>
      <c r="I942" s="524"/>
    </row>
    <row r="943" spans="1:9" ht="12.75" customHeight="1">
      <c r="A943" s="176"/>
      <c r="B943" s="176"/>
      <c r="C943" s="175"/>
      <c r="D943" s="1275"/>
      <c r="E943" s="1275"/>
      <c r="F943" s="1275"/>
      <c r="G943" s="1023"/>
      <c r="I943" s="524"/>
    </row>
    <row r="944" spans="1:9" ht="12.75" customHeight="1">
      <c r="A944" s="176"/>
      <c r="B944" s="176"/>
      <c r="C944" s="175"/>
      <c r="D944" s="1275"/>
      <c r="E944" s="1275"/>
      <c r="F944" s="1275"/>
      <c r="G944" s="1023"/>
      <c r="I944" s="524"/>
    </row>
    <row r="945" spans="1:9" ht="12.75" customHeight="1">
      <c r="A945" s="176"/>
      <c r="B945" s="176"/>
      <c r="C945" s="175"/>
      <c r="D945" s="1275"/>
      <c r="E945" s="1275"/>
      <c r="F945" s="1275"/>
      <c r="G945" s="1023"/>
      <c r="I945" s="524"/>
    </row>
    <row r="946" spans="1:9" ht="12.75" customHeight="1">
      <c r="A946" s="176"/>
      <c r="B946" s="176"/>
      <c r="C946" s="175"/>
      <c r="D946" s="1061"/>
      <c r="E946" s="1061"/>
      <c r="F946" s="1061"/>
      <c r="G946" s="1023"/>
      <c r="I946" s="524"/>
    </row>
    <row r="947" spans="1:9" ht="12.75" customHeight="1">
      <c r="A947" s="1024"/>
      <c r="B947" s="519" t="s">
        <v>2803</v>
      </c>
      <c r="C947" s="1024"/>
      <c r="D947" s="1313" t="s">
        <v>1973</v>
      </c>
      <c r="E947" s="1313"/>
      <c r="F947" s="1313"/>
      <c r="G947" s="1023"/>
      <c r="I947" s="524"/>
    </row>
    <row r="948" spans="1:9" ht="12.75" customHeight="1">
      <c r="A948" s="1024"/>
      <c r="B948" s="1024"/>
      <c r="C948" s="1024"/>
      <c r="D948" s="1313"/>
      <c r="E948" s="1313"/>
      <c r="F948" s="1313"/>
      <c r="G948" s="1023"/>
      <c r="I948" s="524"/>
    </row>
    <row r="949" spans="1:9" ht="12.75" customHeight="1">
      <c r="A949" s="1024"/>
      <c r="B949" s="1024"/>
      <c r="C949" s="1024"/>
      <c r="D949" s="1313"/>
      <c r="E949" s="1313"/>
      <c r="F949" s="1313"/>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2803</v>
      </c>
      <c r="C952" s="175"/>
      <c r="D952" s="1276" t="s">
        <v>2162</v>
      </c>
      <c r="E952" s="1276"/>
      <c r="F952" s="1276"/>
      <c r="G952" s="1023"/>
      <c r="I952" s="524" t="s">
        <v>2161</v>
      </c>
    </row>
    <row r="953" spans="1:9" ht="12.75" customHeight="1">
      <c r="A953" s="176"/>
      <c r="B953" s="176"/>
      <c r="C953" s="175"/>
      <c r="D953" s="1276"/>
      <c r="E953" s="1276"/>
      <c r="F953" s="1276"/>
      <c r="G953" s="1023"/>
      <c r="I953" s="524"/>
    </row>
    <row r="954" spans="1:9" ht="12.75" customHeight="1">
      <c r="A954" s="176"/>
      <c r="B954" s="176"/>
      <c r="C954" s="175"/>
      <c r="D954" s="1276"/>
      <c r="E954" s="1276"/>
      <c r="F954" s="1276"/>
      <c r="G954" s="1023"/>
      <c r="I954" s="524"/>
    </row>
    <row r="955" spans="1:9" ht="12.75" customHeight="1">
      <c r="A955" s="176"/>
      <c r="B955" s="176"/>
      <c r="C955" s="175"/>
      <c r="D955" s="1276"/>
      <c r="E955" s="1276"/>
      <c r="F955" s="1276"/>
      <c r="G955" s="1023"/>
      <c r="I955" s="524"/>
    </row>
    <row r="956" spans="1:9" ht="12.75" customHeight="1">
      <c r="A956" s="1024"/>
      <c r="B956" s="1024"/>
      <c r="C956" s="1024"/>
      <c r="D956" s="1015"/>
      <c r="E956" s="1015"/>
      <c r="F956" s="1015"/>
      <c r="G956" s="1015"/>
      <c r="I956" s="524"/>
    </row>
    <row r="957" spans="1:9" ht="12.75" customHeight="1">
      <c r="A957" s="385"/>
      <c r="B957" s="385"/>
      <c r="C957" s="385"/>
      <c r="D957" s="1291" t="s">
        <v>1974</v>
      </c>
      <c r="E957" s="1291"/>
      <c r="F957" s="1291"/>
      <c r="G957" s="3"/>
      <c r="I957" s="524"/>
    </row>
    <row r="958" spans="1:9" ht="12.75" customHeight="1">
      <c r="A958" s="176"/>
      <c r="B958" s="519" t="s">
        <v>2803</v>
      </c>
      <c r="C958" s="385"/>
      <c r="D958" s="1292" t="s">
        <v>1998</v>
      </c>
      <c r="E958" s="1292"/>
      <c r="F958" s="1292"/>
      <c r="G958" s="3"/>
      <c r="I958" s="524" t="s">
        <v>2161</v>
      </c>
    </row>
    <row r="959" spans="1:9" ht="12.75" customHeight="1">
      <c r="A959" s="385"/>
      <c r="B959" s="385"/>
      <c r="C959" s="385"/>
      <c r="D959" s="3"/>
      <c r="E959" s="3"/>
      <c r="F959" s="3"/>
      <c r="G959" s="3"/>
      <c r="I959" s="524"/>
    </row>
    <row r="960" spans="1:9" ht="12.75" customHeight="1">
      <c r="A960" s="385"/>
      <c r="B960" s="385"/>
      <c r="C960" s="385"/>
      <c r="D960" s="1291" t="s">
        <v>1975</v>
      </c>
      <c r="E960" s="1291"/>
      <c r="F960" s="1291"/>
      <c r="G960"/>
      <c r="I960" s="524"/>
    </row>
    <row r="961" spans="1:9" ht="12.75" customHeight="1">
      <c r="A961" s="176"/>
      <c r="B961" s="519" t="s">
        <v>2803</v>
      </c>
      <c r="C961" s="385"/>
      <c r="D961" s="1272" t="s">
        <v>2386</v>
      </c>
      <c r="E961" s="1272"/>
      <c r="F961" s="1272"/>
      <c r="G961"/>
      <c r="I961" s="524" t="s">
        <v>2161</v>
      </c>
    </row>
    <row r="962" spans="1:9" ht="12.75" customHeight="1">
      <c r="A962" s="176"/>
      <c r="B962" s="176"/>
      <c r="C962" s="385"/>
      <c r="D962" s="1272"/>
      <c r="E962" s="1272"/>
      <c r="F962" s="1272"/>
      <c r="G962"/>
      <c r="I962" s="524"/>
    </row>
    <row r="963" spans="1:9" ht="12.75" customHeight="1">
      <c r="A963" s="176"/>
      <c r="B963" s="176"/>
      <c r="C963" s="385"/>
      <c r="D963" s="1272"/>
      <c r="E963" s="1272"/>
      <c r="F963" s="1272"/>
      <c r="G963"/>
      <c r="I963" s="524"/>
    </row>
    <row r="964" spans="1:9" ht="12.75" customHeight="1">
      <c r="A964" s="176"/>
      <c r="B964" s="176"/>
      <c r="C964" s="385"/>
      <c r="D964" s="1272"/>
      <c r="E964" s="1272"/>
      <c r="F964" s="1272"/>
      <c r="G964"/>
      <c r="I964" s="524"/>
    </row>
    <row r="965" spans="1:9" ht="12.75" customHeight="1">
      <c r="A965" s="176"/>
      <c r="B965" s="176"/>
      <c r="C965" s="385"/>
      <c r="D965" s="1272"/>
      <c r="E965" s="1272"/>
      <c r="F965" s="1272"/>
      <c r="G965"/>
      <c r="I965" s="524"/>
    </row>
    <row r="966" spans="1:9" ht="12.75" customHeight="1">
      <c r="A966" s="176"/>
      <c r="B966" s="176"/>
      <c r="C966" s="385"/>
      <c r="D966" s="1272"/>
      <c r="E966" s="1272"/>
      <c r="F966" s="1272"/>
      <c r="G966"/>
      <c r="I966" s="524"/>
    </row>
    <row r="967" spans="1:9" ht="12.75" customHeight="1">
      <c r="A967" s="176"/>
      <c r="B967" s="176"/>
      <c r="C967" s="385"/>
      <c r="D967" s="1272"/>
      <c r="E967" s="1272"/>
      <c r="F967" s="1272"/>
      <c r="G967"/>
      <c r="I967" s="524"/>
    </row>
    <row r="968" spans="1:9" ht="12.75" customHeight="1">
      <c r="A968" s="176"/>
      <c r="B968" s="176"/>
      <c r="C968" s="385"/>
      <c r="D968" s="1272"/>
      <c r="E968" s="1272"/>
      <c r="F968" s="1272"/>
      <c r="G968"/>
      <c r="I968" s="524"/>
    </row>
    <row r="969" spans="1:9" ht="12.75" customHeight="1">
      <c r="A969" s="176"/>
      <c r="B969" s="176"/>
      <c r="C969" s="385"/>
      <c r="D969" s="1272"/>
      <c r="E969" s="1272"/>
      <c r="F969" s="1272"/>
      <c r="G969"/>
      <c r="I969" s="524"/>
    </row>
    <row r="970" spans="1:9" ht="12.75" customHeight="1">
      <c r="A970" s="176"/>
      <c r="B970" s="176"/>
      <c r="C970" s="385"/>
      <c r="D970" s="1272"/>
      <c r="E970" s="1272"/>
      <c r="F970" s="1272"/>
      <c r="G970"/>
      <c r="I970" s="524"/>
    </row>
    <row r="971" spans="1:9" ht="12.75" customHeight="1">
      <c r="A971" s="176"/>
      <c r="B971" s="176"/>
      <c r="C971" s="385"/>
      <c r="D971" s="1272"/>
      <c r="E971" s="1272"/>
      <c r="F971" s="1272"/>
      <c r="G971"/>
      <c r="I971" s="524"/>
    </row>
    <row r="972" spans="1:9" ht="12.75" customHeight="1">
      <c r="A972" s="176"/>
      <c r="B972" s="176"/>
      <c r="C972" s="385"/>
      <c r="D972" s="1272"/>
      <c r="E972" s="1272"/>
      <c r="F972" s="1272"/>
      <c r="G972"/>
      <c r="I972" s="524"/>
    </row>
    <row r="973" spans="1:9" ht="12.75" customHeight="1">
      <c r="A973" s="176"/>
      <c r="B973" s="176"/>
      <c r="C973" s="385"/>
      <c r="D973" s="1272"/>
      <c r="E973" s="1272"/>
      <c r="F973" s="1272"/>
      <c r="G973"/>
      <c r="I973" s="524"/>
    </row>
    <row r="974" spans="1:9" ht="12.75" customHeight="1">
      <c r="A974" s="176"/>
      <c r="B974" s="176"/>
      <c r="C974" s="385"/>
      <c r="D974" s="1272"/>
      <c r="E974" s="1272"/>
      <c r="F974" s="1272"/>
      <c r="G974"/>
      <c r="I974" s="524"/>
    </row>
    <row r="975" spans="1:9" ht="12.75" customHeight="1">
      <c r="A975" s="176"/>
      <c r="B975" s="176"/>
      <c r="C975" s="385"/>
      <c r="D975" s="1272"/>
      <c r="E975" s="1272"/>
      <c r="F975" s="1272"/>
      <c r="G975" s="3"/>
      <c r="I975" s="524"/>
    </row>
    <row r="976" spans="1:9" ht="12.75" customHeight="1">
      <c r="A976" s="385"/>
      <c r="B976" s="385"/>
      <c r="C976" s="385"/>
      <c r="D976" s="3"/>
      <c r="E976" s="3"/>
      <c r="F976" s="3"/>
      <c r="G976" s="3"/>
      <c r="I976" s="524"/>
    </row>
    <row r="977" spans="1:9" ht="12.75" customHeight="1">
      <c r="A977" s="1300" t="s">
        <v>1976</v>
      </c>
      <c r="B977" s="1300"/>
      <c r="C977" s="1300"/>
      <c r="D977" s="1300"/>
      <c r="E977" s="1300"/>
      <c r="F977" s="1300"/>
      <c r="G977" s="1300"/>
      <c r="H977" s="1063"/>
      <c r="I977" s="1256"/>
    </row>
    <row r="978" spans="1:9" ht="12.75" customHeight="1">
      <c r="A978" s="118"/>
      <c r="B978" s="118"/>
      <c r="C978" s="385"/>
      <c r="D978" s="3"/>
      <c r="E978" s="3"/>
      <c r="F978" s="3"/>
      <c r="G978" s="3"/>
      <c r="I978" s="524"/>
    </row>
    <row r="979" spans="1:9" ht="12.75" customHeight="1">
      <c r="A979" s="385"/>
      <c r="B979" s="385"/>
      <c r="C979" s="1024"/>
      <c r="D979" s="1291" t="s">
        <v>1999</v>
      </c>
      <c r="E979" s="1291"/>
      <c r="F979" s="1291"/>
      <c r="G979" s="3"/>
      <c r="I979" s="524"/>
    </row>
    <row r="980" spans="1:9" ht="12.75" customHeight="1">
      <c r="A980" s="172"/>
      <c r="B980" s="172"/>
      <c r="C980" s="172"/>
      <c r="D980" s="1292" t="s">
        <v>1977</v>
      </c>
      <c r="E980" s="1292"/>
      <c r="F980" s="1292"/>
      <c r="G980" s="3"/>
      <c r="I980" s="524"/>
    </row>
    <row r="981" spans="1:9" ht="12.75" customHeight="1">
      <c r="A981" s="172"/>
      <c r="B981" s="172"/>
      <c r="C981" s="172"/>
      <c r="D981" s="3"/>
      <c r="E981" s="3"/>
      <c r="F981" s="1023"/>
      <c r="G981"/>
      <c r="I981" s="524"/>
    </row>
    <row r="982" spans="1:9" ht="12.75" customHeight="1">
      <c r="A982" s="385"/>
      <c r="B982" s="519" t="s">
        <v>2802</v>
      </c>
      <c r="C982" s="385"/>
      <c r="D982" s="1355" t="s">
        <v>2216</v>
      </c>
      <c r="E982" s="1355"/>
      <c r="F982" s="1355"/>
      <c r="G982"/>
      <c r="I982" s="524" t="s">
        <v>2141</v>
      </c>
    </row>
    <row r="983" spans="1:9" ht="12.75" customHeight="1">
      <c r="A983" s="385"/>
      <c r="B983" s="385"/>
      <c r="C983" s="385"/>
      <c r="D983" s="1355"/>
      <c r="E983" s="1355"/>
      <c r="F983" s="1355"/>
      <c r="G983"/>
      <c r="I983" s="524"/>
    </row>
    <row r="984" spans="1:9" ht="12.75" customHeight="1">
      <c r="A984" s="385"/>
      <c r="B984" s="385"/>
      <c r="C984" s="385"/>
      <c r="D984" s="1073"/>
      <c r="E984" s="1071" t="s">
        <v>2217</v>
      </c>
      <c r="F984" s="1073"/>
      <c r="G984"/>
      <c r="I984" s="524"/>
    </row>
    <row r="985" spans="1:9" ht="12.75" customHeight="1">
      <c r="A985" s="385"/>
      <c r="B985" s="385"/>
      <c r="C985" s="385"/>
      <c r="D985" s="1278" t="s">
        <v>2215</v>
      </c>
      <c r="E985" s="1278"/>
      <c r="F985" s="1278"/>
      <c r="G985"/>
      <c r="I985" s="524"/>
    </row>
    <row r="986" spans="1:9" ht="12.75" customHeight="1">
      <c r="A986" s="385"/>
      <c r="B986" s="385"/>
      <c r="C986" s="385"/>
      <c r="D986" s="1278"/>
      <c r="E986" s="1278"/>
      <c r="F986" s="1278"/>
      <c r="G986"/>
      <c r="I986" s="524"/>
    </row>
    <row r="987" spans="1:9" ht="12.75" customHeight="1">
      <c r="A987" s="175"/>
      <c r="B987" s="175"/>
      <c r="C987" s="175"/>
      <c r="D987" s="1278"/>
      <c r="E987" s="1278"/>
      <c r="F987" s="1278"/>
      <c r="G987"/>
      <c r="I987" s="524"/>
    </row>
    <row r="988" spans="1:9" ht="12.75" customHeight="1">
      <c r="A988" s="175"/>
      <c r="B988" s="175"/>
      <c r="C988" s="175"/>
      <c r="D988" s="1278"/>
      <c r="E988" s="1278"/>
      <c r="F988" s="1278"/>
      <c r="G988"/>
      <c r="I988" s="524"/>
    </row>
    <row r="989" spans="1:9" ht="12.75" customHeight="1">
      <c r="A989" s="175"/>
      <c r="B989" s="175"/>
      <c r="C989" s="175"/>
      <c r="D989" s="363"/>
      <c r="E989" s="363"/>
      <c r="F989" s="363"/>
      <c r="G989"/>
      <c r="I989" s="524"/>
    </row>
    <row r="990" spans="1:9" ht="12.75" customHeight="1">
      <c r="A990" s="175"/>
      <c r="B990" s="519" t="s">
        <v>2803</v>
      </c>
      <c r="C990" s="175"/>
      <c r="D990" s="1272" t="s">
        <v>1978</v>
      </c>
      <c r="E990" s="1272"/>
      <c r="F990" s="1272"/>
      <c r="G990"/>
      <c r="I990" s="524"/>
    </row>
    <row r="991" spans="1:9" ht="12.75" customHeight="1">
      <c r="A991" s="175"/>
      <c r="B991" s="175"/>
      <c r="C991" s="175"/>
      <c r="D991" s="1272"/>
      <c r="E991" s="1272"/>
      <c r="F991" s="1272"/>
      <c r="G991"/>
      <c r="I991" s="524"/>
    </row>
    <row r="992" spans="1:9" ht="12.75" customHeight="1">
      <c r="A992" s="175"/>
      <c r="B992" s="175"/>
      <c r="C992" s="175"/>
      <c r="D992" s="1272"/>
      <c r="E992" s="1272"/>
      <c r="F992" s="1272"/>
      <c r="G992"/>
      <c r="I992" s="524"/>
    </row>
    <row r="993" spans="1:9" ht="12.75" customHeight="1">
      <c r="A993" s="175"/>
      <c r="B993" s="175"/>
      <c r="C993" s="175"/>
      <c r="D993" s="1272"/>
      <c r="E993" s="1272"/>
      <c r="F993" s="1272"/>
      <c r="G993"/>
      <c r="I993" s="524"/>
    </row>
    <row r="994" spans="1:9" ht="12.75" customHeight="1">
      <c r="A994" s="175"/>
      <c r="B994" s="175"/>
      <c r="C994" s="175"/>
      <c r="D994" s="474"/>
      <c r="E994" s="474"/>
      <c r="F994" s="474"/>
      <c r="G994"/>
      <c r="I994" s="524"/>
    </row>
    <row r="995" spans="1:9" ht="12.75" customHeight="1">
      <c r="A995" s="175"/>
      <c r="B995" s="519" t="s">
        <v>2803</v>
      </c>
      <c r="C995" s="175"/>
      <c r="D995" s="1272" t="s">
        <v>1979</v>
      </c>
      <c r="E995" s="1272"/>
      <c r="F995" s="1272"/>
      <c r="G995"/>
      <c r="I995" s="524"/>
    </row>
    <row r="996" spans="1:9" ht="12.75" customHeight="1">
      <c r="A996" s="175"/>
      <c r="B996" s="175"/>
      <c r="C996" s="175"/>
      <c r="D996" s="1272"/>
      <c r="E996" s="1272"/>
      <c r="F996" s="1272"/>
      <c r="G996"/>
      <c r="I996" s="524"/>
    </row>
    <row r="997" spans="1:9" ht="12.75" customHeight="1">
      <c r="A997" s="175"/>
      <c r="B997" s="175"/>
      <c r="C997" s="175"/>
      <c r="D997" s="474"/>
      <c r="E997" s="474"/>
      <c r="F997" s="474"/>
      <c r="G997"/>
      <c r="I997" s="524"/>
    </row>
    <row r="998" spans="1:9" ht="12.75" customHeight="1">
      <c r="A998" s="176"/>
      <c r="B998" s="519" t="s">
        <v>2802</v>
      </c>
      <c r="C998" s="385"/>
      <c r="D998" s="1292" t="s">
        <v>1980</v>
      </c>
      <c r="E998" s="1292"/>
      <c r="F998" s="1292"/>
      <c r="G998"/>
      <c r="I998" s="524"/>
    </row>
    <row r="999" spans="1:9" ht="12.75" customHeight="1">
      <c r="A999" s="385"/>
      <c r="B999" s="385"/>
      <c r="C999" s="385"/>
      <c r="D999" s="3"/>
      <c r="E999" s="3"/>
      <c r="F999" s="3"/>
      <c r="G999"/>
      <c r="I999" s="524"/>
    </row>
    <row r="1000" spans="1:9" ht="12.75" customHeight="1">
      <c r="A1000" s="176"/>
      <c r="B1000" s="519" t="s">
        <v>2803</v>
      </c>
      <c r="C1000" s="385"/>
      <c r="D1000" s="1292" t="s">
        <v>1981</v>
      </c>
      <c r="E1000" s="1292"/>
      <c r="F1000" s="1292"/>
      <c r="G1000"/>
      <c r="I1000" s="524"/>
    </row>
    <row r="1001" spans="1:9" ht="12.75" customHeight="1">
      <c r="A1001" s="385"/>
      <c r="B1001" s="385"/>
      <c r="C1001" s="385"/>
      <c r="D1001" s="118"/>
      <c r="E1001" s="3"/>
      <c r="F1001" s="3"/>
      <c r="G1001"/>
      <c r="I1001" s="524"/>
    </row>
    <row r="1002" spans="1:9" ht="12.75" customHeight="1">
      <c r="A1002" s="176"/>
      <c r="B1002" s="519" t="s">
        <v>2802</v>
      </c>
      <c r="C1002" s="385"/>
      <c r="D1002" s="1292" t="s">
        <v>1982</v>
      </c>
      <c r="E1002" s="1292"/>
      <c r="F1002" s="1292"/>
      <c r="G1002"/>
      <c r="I1002" s="524"/>
    </row>
    <row r="1003" spans="1:9" ht="12.75" customHeight="1">
      <c r="A1003" s="385"/>
      <c r="B1003" s="385"/>
      <c r="C1003" s="385"/>
      <c r="D1003" s="118"/>
      <c r="E1003" s="3"/>
      <c r="F1003" s="3"/>
      <c r="G1003"/>
      <c r="I1003" s="524"/>
    </row>
    <row r="1004" spans="1:9" ht="12.75" customHeight="1">
      <c r="A1004" s="176"/>
      <c r="B1004" s="519" t="s">
        <v>2803</v>
      </c>
      <c r="C1004" s="385"/>
      <c r="D1004" s="1272" t="s">
        <v>1983</v>
      </c>
      <c r="E1004" s="1272"/>
      <c r="F1004" s="1272"/>
      <c r="G1004"/>
      <c r="I1004" s="524"/>
    </row>
    <row r="1005" spans="1:9" ht="12.75" customHeight="1">
      <c r="A1005" s="176"/>
      <c r="B1005" s="176"/>
      <c r="C1005" s="385"/>
      <c r="D1005" s="1272"/>
      <c r="E1005" s="1272"/>
      <c r="F1005" s="1272"/>
      <c r="G1005"/>
      <c r="I1005" s="524"/>
    </row>
    <row r="1006" spans="1:9" ht="12.75" customHeight="1">
      <c r="A1006" s="176"/>
      <c r="B1006" s="176"/>
      <c r="C1006" s="385"/>
      <c r="D1006" s="118"/>
      <c r="E1006" s="3"/>
      <c r="F1006" s="3"/>
      <c r="G1006" s="3"/>
      <c r="I1006" s="524"/>
    </row>
    <row r="1007" spans="1:9" ht="12.75" customHeight="1">
      <c r="A1007" s="272"/>
      <c r="B1007" s="519" t="s">
        <v>2803</v>
      </c>
      <c r="C1007" s="1035"/>
      <c r="D1007" s="1305" t="s">
        <v>1984</v>
      </c>
      <c r="E1007" s="1305"/>
      <c r="F1007" s="1305"/>
      <c r="G1007" s="1036"/>
      <c r="I1007" s="524"/>
    </row>
    <row r="1008" spans="1:9" ht="12.75" customHeight="1">
      <c r="A1008" s="1035"/>
      <c r="B1008" s="1035"/>
      <c r="C1008" s="1035"/>
      <c r="D1008" s="1305"/>
      <c r="E1008" s="1305"/>
      <c r="F1008" s="1305"/>
      <c r="G1008" s="1036"/>
      <c r="I1008" s="524"/>
    </row>
    <row r="1009" spans="1:9" ht="12.75" customHeight="1">
      <c r="A1009" s="1035"/>
      <c r="B1009" s="1035"/>
      <c r="C1009" s="1035"/>
      <c r="D1009" s="1019"/>
      <c r="E1009" s="1036"/>
      <c r="F1009" s="1036"/>
      <c r="G1009" s="1036"/>
      <c r="I1009" s="524"/>
    </row>
    <row r="1010" spans="1:9" ht="12.75" customHeight="1">
      <c r="A1010" s="272"/>
      <c r="B1010" s="519" t="s">
        <v>2803</v>
      </c>
      <c r="C1010" s="1035"/>
      <c r="D1010" s="1354" t="s">
        <v>1985</v>
      </c>
      <c r="E1010" s="1354"/>
      <c r="F1010" s="1354"/>
      <c r="G1010" s="1036"/>
      <c r="I1010" s="524"/>
    </row>
    <row r="1011" spans="1:9" ht="12.75" customHeight="1">
      <c r="A1011" s="1035"/>
      <c r="B1011" s="1035"/>
      <c r="C1011" s="1035"/>
      <c r="D1011" s="1019"/>
      <c r="E1011" s="1036"/>
      <c r="F1011" s="1036"/>
      <c r="G1011" s="1036"/>
      <c r="I1011" s="524"/>
    </row>
    <row r="1012" spans="1:9" ht="12.75" customHeight="1">
      <c r="A1012" s="176"/>
      <c r="B1012" s="519" t="s">
        <v>2803</v>
      </c>
      <c r="C1012" s="385"/>
      <c r="D1012" s="1292" t="s">
        <v>1986</v>
      </c>
      <c r="E1012" s="1292"/>
      <c r="F1012" s="1292"/>
      <c r="G1012" s="3"/>
      <c r="I1012" s="524"/>
    </row>
    <row r="1013" spans="1:9" ht="12.75" customHeight="1">
      <c r="A1013" s="176"/>
      <c r="B1013" s="176"/>
      <c r="C1013" s="385"/>
      <c r="D1013" s="118"/>
      <c r="E1013" s="3"/>
      <c r="F1013" s="3"/>
      <c r="G1013" s="3"/>
      <c r="I1013" s="524"/>
    </row>
    <row r="1014" spans="1:9" ht="12.75" customHeight="1">
      <c r="A1014" s="176"/>
      <c r="B1014" s="519" t="s">
        <v>2803</v>
      </c>
      <c r="C1014" s="385"/>
      <c r="D1014" s="1272" t="s">
        <v>1987</v>
      </c>
      <c r="E1014" s="1272"/>
      <c r="F1014" s="1272"/>
      <c r="G1014" s="3"/>
      <c r="I1014" s="524"/>
    </row>
    <row r="1015" spans="1:9" ht="12.75" customHeight="1">
      <c r="A1015" s="176"/>
      <c r="B1015" s="176"/>
      <c r="C1015" s="385"/>
      <c r="D1015" s="1272"/>
      <c r="E1015" s="1272"/>
      <c r="F1015" s="1272"/>
      <c r="G1015" s="3"/>
      <c r="I1015" s="524"/>
    </row>
    <row r="1016" spans="1:9" ht="12.75" customHeight="1">
      <c r="A1016" s="385"/>
      <c r="B1016" s="385"/>
      <c r="C1016" s="385"/>
      <c r="D1016" s="3"/>
      <c r="E1016" s="3"/>
      <c r="F1016" s="3"/>
      <c r="G1016" s="3"/>
      <c r="I1016" s="524"/>
    </row>
    <row r="1017" spans="1:9" ht="12.75" customHeight="1">
      <c r="A1017" s="1300" t="s">
        <v>1988</v>
      </c>
      <c r="B1017" s="1300"/>
      <c r="C1017" s="1300"/>
      <c r="D1017" s="1300"/>
      <c r="E1017" s="1300"/>
      <c r="F1017" s="1300"/>
      <c r="G1017" s="1300"/>
      <c r="H1017" s="1063"/>
      <c r="I1017" s="1256"/>
    </row>
    <row r="1018" spans="1:9" ht="12.75" customHeight="1">
      <c r="A1018" s="385"/>
      <c r="B1018" s="385"/>
      <c r="C1018" s="385"/>
      <c r="D1018" s="3"/>
      <c r="E1018" s="3"/>
      <c r="F1018" s="3"/>
      <c r="G1018" s="3"/>
      <c r="I1018" s="524"/>
    </row>
    <row r="1019" spans="1:9" ht="12.75" customHeight="1">
      <c r="A1019" s="385"/>
      <c r="B1019" s="385"/>
      <c r="C1019" s="385"/>
      <c r="D1019" s="1306" t="s">
        <v>1989</v>
      </c>
      <c r="E1019" s="1306"/>
      <c r="F1019" s="1306"/>
      <c r="G1019" s="3"/>
      <c r="I1019" s="524"/>
    </row>
    <row r="1020" spans="1:9" ht="12.75" customHeight="1">
      <c r="A1020" s="385"/>
      <c r="B1020" s="385"/>
      <c r="C1020" s="385"/>
      <c r="D1020" s="1354" t="s">
        <v>1990</v>
      </c>
      <c r="E1020" s="1354"/>
      <c r="F1020" s="1354"/>
      <c r="G1020" s="3"/>
      <c r="I1020" s="524"/>
    </row>
    <row r="1021" spans="1:9" ht="12.75" customHeight="1">
      <c r="A1021" s="172"/>
      <c r="B1021" s="172"/>
      <c r="C1021" s="172"/>
      <c r="D1021" s="3"/>
      <c r="E1021" s="3"/>
      <c r="F1021" s="3"/>
      <c r="G1021" s="3"/>
      <c r="I1021" s="524"/>
    </row>
    <row r="1022" spans="1:9" ht="12.75" customHeight="1">
      <c r="A1022" s="176"/>
      <c r="B1022" s="176"/>
      <c r="C1022" s="175"/>
      <c r="D1022" s="1306" t="s">
        <v>2004</v>
      </c>
      <c r="E1022" s="1306"/>
      <c r="F1022" s="1306"/>
      <c r="G1022" s="3"/>
      <c r="I1022" s="524" t="s">
        <v>2113</v>
      </c>
    </row>
    <row r="1023" spans="1:9" ht="12.75" customHeight="1">
      <c r="A1023" s="385"/>
      <c r="B1023" s="519" t="s">
        <v>2802</v>
      </c>
      <c r="C1023" s="385"/>
      <c r="D1023" s="1354" t="s">
        <v>1381</v>
      </c>
      <c r="E1023" s="1354"/>
      <c r="F1023" s="1354"/>
      <c r="G1023" s="3"/>
      <c r="I1023" s="524"/>
    </row>
    <row r="1024" spans="1:9" ht="12.75" customHeight="1">
      <c r="A1024" s="385"/>
      <c r="B1024" s="176"/>
      <c r="C1024" s="385"/>
      <c r="D1024" s="1354" t="s">
        <v>1991</v>
      </c>
      <c r="E1024" s="1354"/>
      <c r="F1024" s="1354"/>
      <c r="G1024" s="3"/>
      <c r="I1024" s="524"/>
    </row>
    <row r="1025" spans="1:9" ht="12.75" customHeight="1">
      <c r="A1025" s="385"/>
      <c r="B1025" s="385"/>
      <c r="C1025" s="385"/>
      <c r="D1025" s="1354"/>
      <c r="E1025" s="1354"/>
      <c r="F1025" s="1354"/>
      <c r="G1025" s="3"/>
      <c r="I1025" s="524"/>
    </row>
    <row r="1026" spans="1:9" ht="12.75" customHeight="1">
      <c r="A1026" s="1300" t="s">
        <v>2000</v>
      </c>
      <c r="B1026" s="1300"/>
      <c r="C1026" s="1300"/>
      <c r="D1026" s="1300"/>
      <c r="E1026" s="1300"/>
      <c r="F1026" s="1300"/>
      <c r="G1026" s="1300"/>
      <c r="H1026" s="1063"/>
      <c r="I1026" s="1256"/>
    </row>
    <row r="1027" spans="1:9" ht="12.75" customHeight="1">
      <c r="A1027" s="118"/>
      <c r="B1027" s="118"/>
      <c r="C1027" s="385"/>
      <c r="D1027" s="3"/>
      <c r="E1027" s="3"/>
      <c r="F1027" s="3"/>
      <c r="G1027" s="3"/>
      <c r="I1027" s="524"/>
    </row>
    <row r="1028" spans="1:9" ht="12.75" hidden="1" customHeight="1">
      <c r="A1028" s="118"/>
      <c r="B1028" s="433"/>
      <c r="D1028" s="1301" t="s">
        <v>1382</v>
      </c>
      <c r="E1028" s="1301"/>
      <c r="F1028" s="1301"/>
      <c r="G1028" s="3"/>
      <c r="I1028" s="524"/>
    </row>
    <row r="1029" spans="1:9" ht="12.75" hidden="1" customHeight="1">
      <c r="A1029" s="118"/>
      <c r="B1029" s="519" t="s">
        <v>308</v>
      </c>
      <c r="D1029" s="1286" t="s">
        <v>1381</v>
      </c>
      <c r="E1029" s="1286"/>
      <c r="F1029" s="1286"/>
      <c r="G1029" s="3"/>
      <c r="I1029" s="524"/>
    </row>
    <row r="1030" spans="1:9" ht="12.75" hidden="1" customHeight="1">
      <c r="A1030" s="118"/>
      <c r="B1030" s="433"/>
      <c r="D1030" s="1286" t="s">
        <v>2001</v>
      </c>
      <c r="E1030" s="1286"/>
      <c r="F1030" s="1286"/>
      <c r="G1030" s="3"/>
      <c r="I1030" s="524"/>
    </row>
    <row r="1031" spans="1:9" ht="12.75" hidden="1" customHeight="1">
      <c r="A1031" s="118"/>
      <c r="B1031" s="433"/>
      <c r="D1031" s="478"/>
      <c r="E1031" s="478"/>
      <c r="F1031" s="478"/>
      <c r="G1031" s="3"/>
      <c r="I1031" s="524"/>
    </row>
    <row r="1032" spans="1:9" ht="12.75" customHeight="1">
      <c r="A1032" s="118"/>
      <c r="B1032" s="118"/>
      <c r="C1032" s="385"/>
      <c r="D1032" s="1360" t="s">
        <v>1096</v>
      </c>
      <c r="E1032" s="1360"/>
      <c r="F1032" s="1360"/>
      <c r="G1032" s="3"/>
      <c r="I1032" s="524" t="s">
        <v>2142</v>
      </c>
    </row>
    <row r="1033" spans="1:9" ht="12.75" customHeight="1">
      <c r="A1033" s="345"/>
      <c r="B1033" s="345"/>
      <c r="C1033" s="345"/>
      <c r="D1033" s="1296" t="s">
        <v>1113</v>
      </c>
      <c r="E1033" s="1296"/>
      <c r="F1033" s="1296"/>
      <c r="G1033" s="98"/>
      <c r="I1033" s="524"/>
    </row>
    <row r="1034" spans="1:9" ht="12.75" customHeight="1">
      <c r="A1034" s="176"/>
      <c r="B1034" s="519" t="s">
        <v>2803</v>
      </c>
      <c r="C1034" s="385"/>
      <c r="D1034" s="1296" t="s">
        <v>1006</v>
      </c>
      <c r="E1034" s="1296"/>
      <c r="F1034" s="1296"/>
      <c r="G1034" s="3"/>
      <c r="I1034" s="524"/>
    </row>
    <row r="1035" spans="1:9" ht="12.75" customHeight="1">
      <c r="A1035" s="385"/>
      <c r="B1035" s="385"/>
      <c r="C1035" s="385"/>
      <c r="D1035" s="1071" t="s">
        <v>2218</v>
      </c>
      <c r="E1035" s="96"/>
      <c r="F1035" s="96"/>
      <c r="G1035" s="3"/>
      <c r="I1035" s="524"/>
    </row>
    <row r="1036" spans="1:9">
      <c r="A1036" s="433"/>
      <c r="B1036" s="433"/>
      <c r="C1036" s="433"/>
      <c r="I1036" s="524"/>
    </row>
    <row r="1037" spans="1:9">
      <c r="A1037" s="1300" t="s">
        <v>2021</v>
      </c>
      <c r="B1037" s="1300"/>
      <c r="C1037" s="1300"/>
      <c r="D1037" s="1300"/>
      <c r="E1037" s="1300"/>
      <c r="F1037" s="1300"/>
      <c r="G1037" s="1300"/>
      <c r="H1037" s="1063"/>
      <c r="I1037" s="1256"/>
    </row>
    <row r="1038" spans="1:9">
      <c r="A1038" s="433"/>
      <c r="B1038" s="433"/>
      <c r="C1038" s="433"/>
      <c r="I1038" s="524"/>
    </row>
    <row r="1039" spans="1:9">
      <c r="A1039" s="433"/>
      <c r="B1039" s="433"/>
      <c r="C1039" s="433"/>
      <c r="D1039" s="435" t="s">
        <v>2007</v>
      </c>
      <c r="I1039" s="524"/>
    </row>
    <row r="1040" spans="1:9">
      <c r="A1040" s="433"/>
      <c r="B1040" s="433"/>
      <c r="C1040" s="433"/>
      <c r="D1040" s="433" t="s">
        <v>2006</v>
      </c>
      <c r="I1040" s="524"/>
    </row>
    <row r="1041" spans="1:9">
      <c r="A1041" s="433"/>
      <c r="B1041" s="433"/>
      <c r="C1041" s="433"/>
      <c r="D1041" s="435"/>
      <c r="I1041" s="524"/>
    </row>
    <row r="1042" spans="1:9">
      <c r="A1042" s="433"/>
      <c r="B1042" s="519" t="s">
        <v>2802</v>
      </c>
      <c r="C1042" s="433"/>
      <c r="D1042" s="1357" t="s">
        <v>2005</v>
      </c>
      <c r="E1042" s="1357"/>
      <c r="F1042" s="1357"/>
      <c r="I1042" s="524" t="s">
        <v>2114</v>
      </c>
    </row>
    <row r="1043" spans="1:9">
      <c r="A1043" s="433"/>
      <c r="B1043" s="433"/>
      <c r="C1043" s="433"/>
      <c r="D1043" s="1357"/>
      <c r="E1043" s="1357"/>
      <c r="F1043" s="1357"/>
      <c r="I1043" s="524"/>
    </row>
    <row r="1044" spans="1:9">
      <c r="A1044" s="433"/>
      <c r="B1044" s="433"/>
      <c r="C1044" s="433"/>
      <c r="D1044" s="1357"/>
      <c r="E1044" s="1357"/>
      <c r="F1044" s="1357"/>
      <c r="I1044" s="524"/>
    </row>
    <row r="1045" spans="1:9">
      <c r="A1045" s="433"/>
      <c r="B1045" s="433"/>
      <c r="C1045" s="433"/>
      <c r="D1045" s="1357"/>
      <c r="E1045" s="1357"/>
      <c r="F1045" s="1357"/>
      <c r="I1045" s="524"/>
    </row>
    <row r="1046" spans="1:9">
      <c r="A1046" s="433"/>
      <c r="B1046" s="433"/>
      <c r="C1046" s="433"/>
      <c r="I1046" s="524"/>
    </row>
    <row r="1047" spans="1:9">
      <c r="A1047" s="433"/>
      <c r="B1047" s="433"/>
      <c r="C1047" s="433"/>
      <c r="D1047" s="435" t="s">
        <v>1424</v>
      </c>
      <c r="I1047" s="524"/>
    </row>
    <row r="1048" spans="1:9">
      <c r="A1048" s="433"/>
      <c r="B1048" s="433"/>
      <c r="C1048" s="433"/>
      <c r="D1048" s="433" t="s">
        <v>2008</v>
      </c>
      <c r="I1048" s="524"/>
    </row>
    <row r="1049" spans="1:9">
      <c r="A1049" s="433"/>
      <c r="B1049" s="433"/>
      <c r="C1049" s="433"/>
      <c r="I1049" s="524"/>
    </row>
    <row r="1050" spans="1:9">
      <c r="A1050" s="433"/>
      <c r="B1050" s="519" t="s">
        <v>2802</v>
      </c>
      <c r="C1050" s="433"/>
      <c r="D1050" s="433" t="s">
        <v>2003</v>
      </c>
      <c r="I1050" s="524" t="s">
        <v>2115</v>
      </c>
    </row>
    <row r="1051" spans="1:9">
      <c r="A1051" s="433"/>
      <c r="B1051" s="433"/>
      <c r="C1051" s="433"/>
      <c r="I1051" s="524"/>
    </row>
    <row r="1052" spans="1:9">
      <c r="A1052" s="433"/>
      <c r="B1052" s="519" t="s">
        <v>2802</v>
      </c>
      <c r="C1052" s="433"/>
      <c r="D1052" s="1357" t="s">
        <v>2009</v>
      </c>
      <c r="E1052" s="1357"/>
      <c r="F1052" s="1357"/>
      <c r="I1052" s="524" t="s">
        <v>2116</v>
      </c>
    </row>
    <row r="1053" spans="1:9">
      <c r="A1053" s="433"/>
      <c r="B1053" s="433"/>
      <c r="C1053" s="433"/>
      <c r="D1053" s="1357"/>
      <c r="E1053" s="1357"/>
      <c r="F1053" s="1357"/>
      <c r="I1053" s="524"/>
    </row>
    <row r="1054" spans="1:9">
      <c r="A1054" s="433"/>
      <c r="B1054" s="433"/>
      <c r="C1054" s="433"/>
      <c r="D1054" s="1357"/>
      <c r="E1054" s="1357"/>
      <c r="F1054" s="1357"/>
      <c r="I1054" s="524"/>
    </row>
    <row r="1055" spans="1:9">
      <c r="A1055" s="433"/>
      <c r="B1055" s="433"/>
      <c r="C1055" s="433"/>
      <c r="D1055" s="1357"/>
      <c r="E1055" s="1357"/>
      <c r="F1055" s="1357"/>
      <c r="I1055" s="524"/>
    </row>
    <row r="1056" spans="1:9">
      <c r="A1056" s="433"/>
      <c r="B1056" s="433"/>
      <c r="C1056" s="433"/>
      <c r="D1056" s="1357"/>
      <c r="E1056" s="1357"/>
      <c r="F1056" s="1357"/>
      <c r="I1056" s="524"/>
    </row>
    <row r="1057" spans="1:9">
      <c r="A1057" s="433"/>
      <c r="B1057" s="433"/>
      <c r="C1057" s="433"/>
      <c r="I1057" s="524"/>
    </row>
    <row r="1058" spans="1:9">
      <c r="A1058" s="1300" t="s">
        <v>2010</v>
      </c>
      <c r="B1058" s="1300"/>
      <c r="C1058" s="1300"/>
      <c r="D1058" s="1300"/>
      <c r="E1058" s="1300"/>
      <c r="F1058" s="1300"/>
      <c r="G1058" s="1300"/>
      <c r="H1058" s="1063"/>
      <c r="I1058" s="1256"/>
    </row>
    <row r="1059" spans="1:9">
      <c r="A1059" s="433"/>
      <c r="B1059" s="433"/>
      <c r="C1059" s="433"/>
      <c r="I1059" s="524"/>
    </row>
    <row r="1060" spans="1:9">
      <c r="A1060" s="433"/>
      <c r="B1060" s="433"/>
      <c r="C1060" s="433"/>
      <c r="I1060" s="524"/>
    </row>
    <row r="1061" spans="1:9">
      <c r="A1061" s="433"/>
      <c r="B1061" s="519" t="s">
        <v>2802</v>
      </c>
      <c r="C1061" s="433"/>
      <c r="D1061" s="561" t="s">
        <v>2013</v>
      </c>
      <c r="I1061" s="524" t="s">
        <v>2117</v>
      </c>
    </row>
    <row r="1062" spans="1:9">
      <c r="A1062" s="433"/>
      <c r="B1062" s="433"/>
      <c r="C1062" s="433"/>
      <c r="D1062" s="561" t="s">
        <v>2015</v>
      </c>
      <c r="I1062" s="524"/>
    </row>
    <row r="1063" spans="1:9">
      <c r="A1063" s="433"/>
      <c r="B1063" s="433"/>
      <c r="C1063" s="433"/>
      <c r="D1063" s="561"/>
      <c r="I1063" s="524"/>
    </row>
    <row r="1064" spans="1:9">
      <c r="A1064" s="433"/>
      <c r="B1064" s="519" t="s">
        <v>2803</v>
      </c>
      <c r="C1064" s="433"/>
      <c r="D1064" s="561" t="s">
        <v>2016</v>
      </c>
      <c r="I1064" s="524" t="s">
        <v>2118</v>
      </c>
    </row>
    <row r="1065" spans="1:9">
      <c r="A1065" s="433"/>
      <c r="B1065" s="433"/>
      <c r="C1065" s="433"/>
      <c r="D1065" s="561" t="s">
        <v>2014</v>
      </c>
      <c r="I1065" s="524"/>
    </row>
    <row r="1066" spans="1:9">
      <c r="A1066" s="433"/>
      <c r="B1066" s="433"/>
      <c r="C1066" s="433"/>
      <c r="D1066" s="561"/>
      <c r="I1066" s="524"/>
    </row>
    <row r="1067" spans="1:9">
      <c r="A1067" s="433"/>
      <c r="B1067" s="519" t="s">
        <v>2803</v>
      </c>
      <c r="C1067" s="433"/>
      <c r="D1067" s="119" t="s">
        <v>2019</v>
      </c>
      <c r="I1067" s="524" t="s">
        <v>2119</v>
      </c>
    </row>
    <row r="1068" spans="1:9">
      <c r="A1068" s="433"/>
      <c r="B1068" s="433"/>
      <c r="C1068" s="433"/>
      <c r="D1068" s="1272" t="s">
        <v>2020</v>
      </c>
      <c r="E1068" s="1272"/>
      <c r="F1068" s="1272"/>
      <c r="I1068" s="524"/>
    </row>
    <row r="1069" spans="1:9">
      <c r="A1069" s="433"/>
      <c r="B1069" s="433"/>
      <c r="C1069" s="433"/>
      <c r="D1069" s="1272"/>
      <c r="E1069" s="1272"/>
      <c r="F1069" s="1272"/>
      <c r="I1069" s="524"/>
    </row>
    <row r="1070" spans="1:9">
      <c r="A1070" s="433"/>
      <c r="B1070" s="433"/>
      <c r="C1070" s="433"/>
      <c r="D1070" s="1272"/>
      <c r="E1070" s="1272"/>
      <c r="F1070" s="1272"/>
      <c r="I1070" s="524"/>
    </row>
    <row r="1071" spans="1:9">
      <c r="A1071" s="433"/>
      <c r="B1071" s="433"/>
      <c r="C1071" s="433"/>
      <c r="D1071" s="1272"/>
      <c r="E1071" s="1272"/>
      <c r="F1071" s="1272"/>
      <c r="I1071" s="524"/>
    </row>
    <row r="1072" spans="1:9">
      <c r="A1072" s="433"/>
      <c r="B1072" s="433"/>
      <c r="C1072" s="433"/>
      <c r="D1072" s="119" t="s">
        <v>2018</v>
      </c>
      <c r="I1072" s="524"/>
    </row>
    <row r="1073" spans="1:9">
      <c r="A1073" s="433"/>
      <c r="B1073" s="433"/>
      <c r="C1073" s="433"/>
      <c r="D1073" s="119"/>
      <c r="I1073" s="524"/>
    </row>
    <row r="1074" spans="1:9">
      <c r="A1074" s="433"/>
      <c r="B1074" s="433"/>
      <c r="C1074" s="433"/>
      <c r="D1074" s="561" t="s">
        <v>2011</v>
      </c>
      <c r="I1074" s="524" t="s">
        <v>2120</v>
      </c>
    </row>
    <row r="1075" spans="1:9">
      <c r="A1075" s="433"/>
      <c r="B1075" s="519" t="s">
        <v>2803</v>
      </c>
      <c r="C1075" s="433"/>
      <c r="D1075" s="1356" t="s">
        <v>2012</v>
      </c>
      <c r="E1075" s="1356"/>
      <c r="F1075" s="1356"/>
      <c r="I1075" s="524"/>
    </row>
    <row r="1076" spans="1:9">
      <c r="A1076" s="433"/>
      <c r="B1076" s="433"/>
      <c r="C1076" s="433"/>
      <c r="D1076" s="1356"/>
      <c r="E1076" s="1356"/>
      <c r="F1076" s="1356"/>
      <c r="I1076" s="524"/>
    </row>
    <row r="1077" spans="1:9">
      <c r="A1077" s="433"/>
      <c r="B1077" s="433"/>
      <c r="C1077" s="433"/>
      <c r="D1077" s="1356"/>
      <c r="E1077" s="1356"/>
      <c r="F1077" s="1356"/>
      <c r="I1077" s="524"/>
    </row>
    <row r="1078" spans="1:9">
      <c r="A1078" s="433"/>
      <c r="B1078" s="433"/>
      <c r="C1078" s="433"/>
      <c r="D1078" s="1356"/>
      <c r="E1078" s="1356"/>
      <c r="F1078" s="1356"/>
      <c r="I1078" s="524"/>
    </row>
    <row r="1079" spans="1:9">
      <c r="A1079" s="433"/>
      <c r="B1079" s="433"/>
      <c r="C1079" s="433"/>
      <c r="D1079" s="1356"/>
      <c r="E1079" s="1356"/>
      <c r="F1079" s="1356"/>
      <c r="I1079" s="524"/>
    </row>
    <row r="1080" spans="1:9">
      <c r="A1080" s="433"/>
      <c r="B1080" s="433"/>
      <c r="C1080" s="433"/>
      <c r="D1080" s="561" t="s">
        <v>2017</v>
      </c>
      <c r="I1080" s="524"/>
    </row>
    <row r="1081" spans="1:9">
      <c r="A1081" s="433"/>
      <c r="B1081" s="433"/>
      <c r="C1081" s="433"/>
      <c r="I1081" s="524"/>
    </row>
    <row r="1082" spans="1:9">
      <c r="A1082" s="1300" t="s">
        <v>2022</v>
      </c>
      <c r="B1082" s="1300"/>
      <c r="C1082" s="1300"/>
      <c r="D1082" s="1300"/>
      <c r="E1082" s="1300"/>
      <c r="F1082" s="1300"/>
      <c r="G1082" s="1300"/>
      <c r="H1082" s="1063"/>
      <c r="I1082" s="1256"/>
    </row>
    <row r="1083" spans="1:9">
      <c r="A1083" s="433"/>
      <c r="B1083" s="433"/>
      <c r="C1083" s="433"/>
      <c r="I1083" s="524"/>
    </row>
    <row r="1084" spans="1:9">
      <c r="A1084" s="433"/>
      <c r="B1084" s="433"/>
      <c r="C1084" s="433"/>
      <c r="I1084" s="524"/>
    </row>
    <row r="1085" spans="1:9" ht="12.75" customHeight="1">
      <c r="A1085" s="433"/>
      <c r="B1085" s="519" t="s">
        <v>2803</v>
      </c>
      <c r="C1085" s="433"/>
      <c r="D1085" s="1358" t="s">
        <v>2230</v>
      </c>
      <c r="E1085" s="1358"/>
      <c r="F1085" s="1358"/>
      <c r="I1085" s="524" t="s">
        <v>2121</v>
      </c>
    </row>
    <row r="1086" spans="1:9">
      <c r="A1086" s="433"/>
      <c r="B1086" s="433"/>
      <c r="C1086" s="433"/>
      <c r="D1086" s="1358"/>
      <c r="E1086" s="1358"/>
      <c r="F1086" s="1358"/>
      <c r="I1086" s="524"/>
    </row>
    <row r="1087" spans="1:9">
      <c r="A1087" s="433"/>
      <c r="B1087" s="433"/>
      <c r="C1087" s="433"/>
      <c r="D1087" s="1359" t="s">
        <v>2503</v>
      </c>
      <c r="E1087" s="1272"/>
      <c r="F1087" s="1272"/>
      <c r="I1087" s="524"/>
    </row>
    <row r="1088" spans="1:9">
      <c r="A1088" s="433"/>
      <c r="B1088" s="433"/>
      <c r="C1088" s="433"/>
      <c r="D1088" s="561"/>
      <c r="I1088" s="524"/>
    </row>
    <row r="1089" spans="1:9">
      <c r="A1089" s="433"/>
      <c r="B1089" s="519" t="s">
        <v>2803</v>
      </c>
      <c r="C1089" s="433"/>
      <c r="D1089" s="1356" t="s">
        <v>2023</v>
      </c>
      <c r="E1089" s="1356"/>
      <c r="F1089" s="1356"/>
      <c r="I1089" s="524" t="s">
        <v>2122</v>
      </c>
    </row>
    <row r="1090" spans="1:9">
      <c r="A1090" s="433"/>
      <c r="B1090" s="433"/>
      <c r="C1090" s="433"/>
      <c r="D1090" s="1356"/>
      <c r="E1090" s="1356"/>
      <c r="F1090" s="1356"/>
      <c r="I1090" s="524"/>
    </row>
    <row r="1091" spans="1:9">
      <c r="A1091" s="433"/>
      <c r="B1091" s="433"/>
      <c r="C1091" s="433"/>
      <c r="D1091" s="561"/>
      <c r="I1091" s="524"/>
    </row>
    <row r="1092" spans="1:9">
      <c r="A1092" s="433"/>
      <c r="B1092" s="519" t="s">
        <v>2803</v>
      </c>
      <c r="C1092" s="433"/>
      <c r="D1092" s="1356" t="s">
        <v>2166</v>
      </c>
      <c r="E1092" s="1356"/>
      <c r="F1092" s="1356"/>
      <c r="I1092" s="524" t="s">
        <v>2164</v>
      </c>
    </row>
    <row r="1093" spans="1:9">
      <c r="A1093" s="433"/>
      <c r="B1093" s="433"/>
      <c r="C1093" s="433"/>
      <c r="D1093" s="1356"/>
      <c r="E1093" s="1356"/>
      <c r="F1093" s="1356"/>
      <c r="I1093" s="524"/>
    </row>
    <row r="1094" spans="1:9">
      <c r="A1094" s="433"/>
      <c r="B1094" s="433"/>
      <c r="C1094" s="433"/>
      <c r="D1094" s="1356"/>
      <c r="E1094" s="1356"/>
      <c r="F1094" s="1356"/>
      <c r="I1094" s="524"/>
    </row>
    <row r="1095" spans="1:9">
      <c r="A1095" s="433"/>
      <c r="B1095" s="433"/>
      <c r="C1095" s="433"/>
      <c r="D1095" s="1356"/>
      <c r="E1095" s="1356"/>
      <c r="F1095" s="1356"/>
      <c r="I1095" s="524"/>
    </row>
    <row r="1096" spans="1:9">
      <c r="A1096" s="433"/>
      <c r="B1096" s="433"/>
      <c r="C1096" s="433"/>
      <c r="D1096" s="1356"/>
      <c r="E1096" s="1356"/>
      <c r="F1096" s="1356"/>
      <c r="I1096" s="524"/>
    </row>
    <row r="1097" spans="1:9">
      <c r="A1097" s="433"/>
      <c r="B1097" s="433"/>
      <c r="C1097" s="433"/>
      <c r="D1097" s="1356"/>
      <c r="E1097" s="1356"/>
      <c r="F1097" s="1356"/>
      <c r="I1097" s="524"/>
    </row>
    <row r="1098" spans="1:9">
      <c r="A1098" s="433"/>
      <c r="B1098" s="433"/>
      <c r="C1098" s="433"/>
      <c r="D1098" s="561" t="s">
        <v>2165</v>
      </c>
      <c r="I1098" s="514"/>
    </row>
    <row r="1099" spans="1:9">
      <c r="A1099" s="433"/>
      <c r="B1099" s="519" t="s">
        <v>2803</v>
      </c>
      <c r="C1099" s="433"/>
      <c r="D1099" s="1356" t="s">
        <v>2024</v>
      </c>
      <c r="E1099" s="1356"/>
      <c r="F1099" s="1356"/>
      <c r="I1099" s="524" t="s">
        <v>2123</v>
      </c>
    </row>
    <row r="1100" spans="1:9">
      <c r="A1100" s="433"/>
      <c r="B1100" s="433"/>
      <c r="C1100" s="433"/>
      <c r="D1100" s="1356"/>
      <c r="E1100" s="1356"/>
      <c r="F1100" s="1356"/>
      <c r="I1100" s="524"/>
    </row>
    <row r="1101" spans="1:9">
      <c r="A1101" s="433"/>
      <c r="B1101" s="433"/>
      <c r="C1101" s="433"/>
      <c r="D1101" s="1356"/>
      <c r="E1101" s="1356"/>
      <c r="F1101" s="1356"/>
      <c r="I1101" s="524"/>
    </row>
    <row r="1102" spans="1:9">
      <c r="A1102" s="433"/>
      <c r="B1102" s="433"/>
      <c r="C1102" s="433"/>
      <c r="D1102" s="561"/>
      <c r="I1102" s="524"/>
    </row>
    <row r="1103" spans="1:9">
      <c r="A1103" s="433"/>
      <c r="B1103" s="519" t="s">
        <v>2803</v>
      </c>
      <c r="C1103" s="433"/>
      <c r="D1103" s="1278" t="s">
        <v>2167</v>
      </c>
      <c r="E1103" s="1278"/>
      <c r="F1103" s="1278"/>
      <c r="I1103" s="524" t="s">
        <v>2124</v>
      </c>
    </row>
    <row r="1104" spans="1:9">
      <c r="A1104" s="433"/>
      <c r="B1104" s="433"/>
      <c r="C1104" s="433"/>
      <c r="D1104" s="1278"/>
      <c r="E1104" s="1278"/>
      <c r="F1104" s="1278"/>
      <c r="I1104" s="524"/>
    </row>
    <row r="1105" spans="1:9">
      <c r="A1105" s="433"/>
      <c r="B1105" s="433"/>
      <c r="C1105" s="433"/>
      <c r="D1105" s="1278"/>
      <c r="E1105" s="1278"/>
      <c r="F1105" s="1278"/>
      <c r="I1105" s="524"/>
    </row>
    <row r="1106" spans="1:9">
      <c r="A1106" s="433"/>
      <c r="B1106" s="433"/>
      <c r="C1106" s="433"/>
      <c r="D1106" s="1015"/>
      <c r="E1106" s="1015"/>
      <c r="F1106" s="1015"/>
      <c r="I1106" s="524"/>
    </row>
    <row r="1107" spans="1:9" ht="15.75" customHeight="1">
      <c r="A1107" s="433"/>
      <c r="B1107" s="519" t="s">
        <v>2802</v>
      </c>
      <c r="C1107" s="433"/>
      <c r="D1107" s="1272" t="s">
        <v>2169</v>
      </c>
      <c r="E1107" s="1272"/>
      <c r="F1107" s="1272"/>
      <c r="I1107" s="524" t="s">
        <v>2168</v>
      </c>
    </row>
    <row r="1108" spans="1:9">
      <c r="A1108" s="433"/>
      <c r="B1108" s="433"/>
      <c r="C1108" s="433"/>
      <c r="D1108" s="1272"/>
      <c r="E1108" s="1272"/>
      <c r="F1108" s="1272"/>
      <c r="I1108" s="524"/>
    </row>
    <row r="1109" spans="1:9">
      <c r="A1109" s="433"/>
      <c r="B1109" s="433"/>
      <c r="C1109" s="433"/>
      <c r="D1109" s="1272"/>
      <c r="E1109" s="1272"/>
      <c r="F1109" s="1272"/>
      <c r="I1109" s="524"/>
    </row>
    <row r="1110" spans="1:9">
      <c r="A1110" s="433"/>
      <c r="B1110" s="433"/>
      <c r="C1110" s="433"/>
      <c r="D1110" s="1272"/>
      <c r="E1110" s="1272"/>
      <c r="F1110" s="1272"/>
      <c r="I1110" s="524"/>
    </row>
    <row r="1111" spans="1:9">
      <c r="A1111" s="433"/>
      <c r="B1111" s="433"/>
      <c r="C1111" s="433"/>
      <c r="D1111" s="1015"/>
      <c r="E1111" s="1015"/>
      <c r="F1111" s="1015"/>
      <c r="I1111" s="524"/>
    </row>
    <row r="1112" spans="1:9" ht="38.25">
      <c r="A1112" s="433"/>
      <c r="B1112" s="433"/>
      <c r="C1112" s="433"/>
      <c r="I1112" s="1262" t="s">
        <v>2387</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85"/>
      <c r="H1525" s="1285"/>
      <c r="I1525" s="1285"/>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852" zoomScaleNormal="100" workbookViewId="0">
      <selection activeCell="AC888" sqref="AC888:AH888"/>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858" t="s">
        <v>100</v>
      </c>
      <c r="B8" s="1858"/>
      <c r="C8" s="1858"/>
      <c r="D8" s="1858"/>
      <c r="E8" s="1858"/>
      <c r="F8" s="1858"/>
      <c r="G8" s="1858"/>
      <c r="H8" s="1858"/>
      <c r="I8" s="1858"/>
      <c r="J8" s="1858"/>
      <c r="K8" s="1858"/>
      <c r="L8" s="1858"/>
      <c r="M8" s="1858"/>
      <c r="N8" s="1858"/>
      <c r="O8" s="1858"/>
      <c r="P8" s="1858"/>
      <c r="Q8" s="1858"/>
      <c r="R8" s="1858"/>
      <c r="S8" s="1858"/>
      <c r="T8" s="1858"/>
      <c r="U8" s="1858"/>
      <c r="V8" s="1858"/>
      <c r="W8" s="1858"/>
      <c r="X8" s="1858"/>
      <c r="Y8" s="1858"/>
      <c r="Z8" s="1858"/>
      <c r="AA8" s="1858"/>
      <c r="AB8" s="1858"/>
      <c r="AC8" s="1858"/>
      <c r="AD8" s="1858"/>
      <c r="AE8" s="1858"/>
      <c r="AF8" s="1858"/>
      <c r="AG8" s="1858"/>
      <c r="AH8" s="1858"/>
      <c r="AI8" s="1858"/>
      <c r="AJ8" s="1858"/>
      <c r="AK8" s="1858"/>
      <c r="AL8" s="1858"/>
      <c r="AM8" s="1858"/>
      <c r="AN8" s="1858"/>
      <c r="AO8" s="1858"/>
      <c r="AP8" s="1858"/>
      <c r="AQ8" s="1858"/>
      <c r="AR8" s="1858"/>
      <c r="AS8" s="1858"/>
      <c r="AT8" s="1858"/>
      <c r="AU8" s="933"/>
      <c r="AV8" s="933"/>
      <c r="AW8" s="933"/>
      <c r="AX8" s="933"/>
      <c r="AY8" s="933"/>
    </row>
    <row r="9" spans="1:51" ht="12.95" customHeight="1">
      <c r="A9" s="1312" t="s">
        <v>2393</v>
      </c>
      <c r="B9" s="1312"/>
      <c r="C9" s="1312"/>
      <c r="D9" s="1312"/>
      <c r="E9" s="1312"/>
      <c r="F9" s="1312"/>
      <c r="G9" s="1312"/>
      <c r="H9" s="1312"/>
      <c r="I9" s="1312"/>
      <c r="J9" s="1312"/>
      <c r="K9" s="1312"/>
      <c r="L9" s="1312"/>
      <c r="M9" s="1312"/>
      <c r="N9" s="1312"/>
      <c r="O9" s="1312"/>
      <c r="P9" s="1312"/>
      <c r="Q9" s="1312"/>
      <c r="R9" s="1312"/>
      <c r="S9" s="1312"/>
      <c r="T9" s="1312"/>
      <c r="U9" s="1312"/>
      <c r="V9" s="1312"/>
      <c r="W9" s="1312"/>
      <c r="X9" s="1312"/>
      <c r="Y9" s="1312"/>
      <c r="Z9" s="1312"/>
      <c r="AA9" s="1312"/>
      <c r="AB9" s="1312"/>
      <c r="AC9" s="1312"/>
      <c r="AD9" s="1312"/>
      <c r="AE9" s="1312"/>
      <c r="AF9" s="1312"/>
      <c r="AG9" s="1312"/>
      <c r="AH9" s="1312"/>
      <c r="AI9" s="1312"/>
      <c r="AJ9" s="1312"/>
      <c r="AK9" s="1312"/>
      <c r="AL9" s="1312"/>
      <c r="AM9" s="1312"/>
      <c r="AN9" s="1312"/>
      <c r="AO9" s="1312"/>
      <c r="AP9" s="1312"/>
      <c r="AQ9" s="1312"/>
      <c r="AR9" s="1312"/>
      <c r="AS9" s="1312"/>
      <c r="AT9" s="1312"/>
      <c r="AU9" s="13"/>
      <c r="AV9" s="13"/>
      <c r="AW9" s="13"/>
      <c r="AX9" s="13"/>
      <c r="AY9" s="13"/>
    </row>
    <row r="10" spans="1:51" ht="12.95" customHeight="1">
      <c r="A10" s="1312" t="s">
        <v>2582</v>
      </c>
      <c r="B10" s="1312"/>
      <c r="C10" s="1312"/>
      <c r="D10" s="1312"/>
      <c r="E10" s="1312"/>
      <c r="F10" s="1312"/>
      <c r="G10" s="1312"/>
      <c r="H10" s="1312"/>
      <c r="I10" s="1312"/>
      <c r="J10" s="1312"/>
      <c r="K10" s="1312"/>
      <c r="L10" s="1312"/>
      <c r="M10" s="1312"/>
      <c r="N10" s="1312"/>
      <c r="O10" s="1312"/>
      <c r="P10" s="1312"/>
      <c r="Q10" s="1312"/>
      <c r="R10" s="1312"/>
      <c r="S10" s="1312"/>
      <c r="T10" s="1312"/>
      <c r="U10" s="1312"/>
      <c r="V10" s="1312"/>
      <c r="W10" s="1312"/>
      <c r="X10" s="1312"/>
      <c r="Y10" s="1312"/>
      <c r="Z10" s="1312"/>
      <c r="AA10" s="1312"/>
      <c r="AB10" s="1312"/>
      <c r="AC10" s="1312"/>
      <c r="AD10" s="1312"/>
      <c r="AE10" s="1312"/>
      <c r="AF10" s="1312"/>
      <c r="AG10" s="1312"/>
      <c r="AH10" s="1312"/>
      <c r="AI10" s="1312"/>
      <c r="AJ10" s="1312"/>
      <c r="AK10" s="1312"/>
      <c r="AL10" s="1312"/>
      <c r="AM10" s="1312"/>
      <c r="AN10" s="1312"/>
      <c r="AO10" s="1312"/>
      <c r="AP10" s="1312"/>
      <c r="AQ10" s="1312"/>
      <c r="AR10" s="1312"/>
      <c r="AS10" s="1312"/>
      <c r="AT10" s="1312"/>
      <c r="AU10" s="13"/>
      <c r="AV10" s="13"/>
      <c r="AW10" s="13"/>
      <c r="AX10" s="13"/>
      <c r="AY10" s="13"/>
    </row>
    <row r="11" spans="1:51" ht="12.95" customHeight="1">
      <c r="A11" s="1312" t="s">
        <v>1771</v>
      </c>
      <c r="B11" s="1312"/>
      <c r="C11" s="1312"/>
      <c r="D11" s="1312"/>
      <c r="E11" s="1312"/>
      <c r="F11" s="1312"/>
      <c r="G11" s="1312"/>
      <c r="H11" s="1312"/>
      <c r="I11" s="1312"/>
      <c r="J11" s="1312"/>
      <c r="K11" s="1312"/>
      <c r="L11" s="1312"/>
      <c r="M11" s="1312"/>
      <c r="N11" s="1312"/>
      <c r="O11" s="1312"/>
      <c r="P11" s="1312"/>
      <c r="Q11" s="1312"/>
      <c r="R11" s="1312"/>
      <c r="S11" s="1312"/>
      <c r="T11" s="1312"/>
      <c r="U11" s="1312"/>
      <c r="V11" s="1312"/>
      <c r="W11" s="1312"/>
      <c r="X11" s="1312"/>
      <c r="Y11" s="1312"/>
      <c r="Z11" s="1312"/>
      <c r="AA11" s="1312"/>
      <c r="AB11" s="1312"/>
      <c r="AC11" s="1312"/>
      <c r="AD11" s="1312"/>
      <c r="AE11" s="1312"/>
      <c r="AF11" s="1312"/>
      <c r="AG11" s="1312"/>
      <c r="AH11" s="1312"/>
      <c r="AI11" s="1312"/>
      <c r="AJ11" s="1312"/>
      <c r="AK11" s="1312"/>
      <c r="AL11" s="1312"/>
      <c r="AM11" s="1312"/>
      <c r="AN11" s="1312"/>
      <c r="AO11" s="1312"/>
      <c r="AP11" s="1312"/>
      <c r="AQ11" s="1312"/>
      <c r="AR11" s="1312"/>
      <c r="AS11" s="1312"/>
      <c r="AT11" s="1312"/>
      <c r="AU11" s="13"/>
      <c r="AV11" s="13"/>
      <c r="AW11" s="13"/>
      <c r="AX11" s="13"/>
      <c r="AY11" s="13"/>
    </row>
    <row r="12" spans="1:51" ht="12.95" customHeight="1">
      <c r="A12" s="1859" t="s">
        <v>2639</v>
      </c>
      <c r="B12" s="1859"/>
      <c r="C12" s="1859"/>
      <c r="D12" s="1859"/>
      <c r="E12" s="1859"/>
      <c r="F12" s="1859"/>
      <c r="G12" s="1859"/>
      <c r="H12" s="1859"/>
      <c r="I12" s="1859"/>
      <c r="J12" s="1859"/>
      <c r="K12" s="1859"/>
      <c r="L12" s="1859"/>
      <c r="M12" s="1859"/>
      <c r="N12" s="1859"/>
      <c r="O12" s="1859"/>
      <c r="P12" s="1859"/>
      <c r="Q12" s="1859"/>
      <c r="R12" s="1859"/>
      <c r="S12" s="1859"/>
      <c r="T12" s="1859"/>
      <c r="U12" s="1859"/>
      <c r="V12" s="1859"/>
      <c r="W12" s="1859"/>
      <c r="X12" s="1859"/>
      <c r="Y12" s="1859"/>
      <c r="Z12" s="1859"/>
      <c r="AA12" s="1859"/>
      <c r="AB12" s="1859"/>
      <c r="AC12" s="1859"/>
      <c r="AD12" s="1859"/>
      <c r="AE12" s="1859"/>
      <c r="AF12" s="1859"/>
      <c r="AG12" s="1859"/>
      <c r="AH12" s="1859"/>
      <c r="AI12" s="1859"/>
      <c r="AJ12" s="1859"/>
      <c r="AK12" s="1859"/>
      <c r="AL12" s="1859"/>
      <c r="AM12" s="1859"/>
      <c r="AN12" s="1859"/>
      <c r="AO12" s="1859"/>
      <c r="AP12" s="1859"/>
      <c r="AQ12" s="1859"/>
      <c r="AR12" s="1859"/>
      <c r="AS12" s="1859"/>
      <c r="AT12" s="1859"/>
      <c r="AU12" s="6"/>
      <c r="AV12" s="6"/>
      <c r="AW12" s="6"/>
      <c r="AX12" s="6"/>
      <c r="AY12" s="6"/>
    </row>
    <row r="13" spans="1:51" ht="12.95" customHeight="1">
      <c r="A13" s="1282" t="s">
        <v>2394</v>
      </c>
      <c r="B13" s="1282"/>
      <c r="C13" s="1282"/>
      <c r="D13" s="1282"/>
      <c r="E13" s="1282"/>
      <c r="F13" s="1282"/>
      <c r="G13" s="1282"/>
      <c r="H13" s="1282"/>
      <c r="I13" s="1282"/>
      <c r="J13" s="1282"/>
      <c r="K13" s="1282"/>
      <c r="L13" s="1282"/>
      <c r="M13" s="1282"/>
      <c r="N13" s="1282"/>
      <c r="O13" s="1282"/>
      <c r="P13" s="1282"/>
      <c r="Q13" s="1282"/>
      <c r="R13" s="1282"/>
      <c r="S13" s="1282"/>
      <c r="T13" s="1282"/>
      <c r="U13" s="1282"/>
      <c r="V13" s="1282"/>
      <c r="W13" s="1282"/>
      <c r="X13" s="1282"/>
      <c r="Y13" s="1282"/>
      <c r="Z13" s="1282"/>
      <c r="AA13" s="1282"/>
      <c r="AB13" s="1282"/>
      <c r="AC13" s="1282"/>
      <c r="AD13" s="1282"/>
      <c r="AE13" s="1282"/>
      <c r="AF13" s="1282"/>
      <c r="AG13" s="1282"/>
      <c r="AH13" s="1282"/>
      <c r="AI13" s="1282"/>
      <c r="AJ13" s="1282"/>
      <c r="AK13" s="1282"/>
      <c r="AL13" s="1282"/>
      <c r="AM13" s="1282"/>
      <c r="AN13" s="1282"/>
      <c r="AO13" s="1282"/>
      <c r="AP13" s="1282"/>
      <c r="AQ13" s="1282"/>
      <c r="AR13" s="1282"/>
      <c r="AS13" s="1282"/>
      <c r="AT13" s="1282"/>
      <c r="AU13" s="934"/>
      <c r="AV13" s="934"/>
      <c r="AW13" s="934"/>
      <c r="AX13" s="934"/>
      <c r="AY13" s="934"/>
    </row>
    <row r="14" spans="1:51" ht="12.95" customHeight="1">
      <c r="A14" s="1282"/>
      <c r="B14" s="1282"/>
      <c r="C14" s="1282"/>
      <c r="D14" s="1282"/>
      <c r="E14" s="1282"/>
      <c r="F14" s="1282"/>
      <c r="G14" s="1282"/>
      <c r="H14" s="1282"/>
      <c r="I14" s="1282"/>
      <c r="J14" s="1282"/>
      <c r="K14" s="1282"/>
      <c r="L14" s="1282"/>
      <c r="M14" s="1282"/>
      <c r="N14" s="1282"/>
      <c r="O14" s="1282"/>
      <c r="P14" s="1282"/>
      <c r="Q14" s="1282"/>
      <c r="R14" s="1282"/>
      <c r="S14" s="1282"/>
      <c r="T14" s="1282"/>
      <c r="U14" s="1282"/>
      <c r="V14" s="1282"/>
      <c r="W14" s="1282"/>
      <c r="X14" s="1282"/>
      <c r="Y14" s="1282"/>
      <c r="Z14" s="1282"/>
      <c r="AA14" s="1282"/>
      <c r="AB14" s="1282"/>
      <c r="AC14" s="1282"/>
      <c r="AD14" s="1282"/>
      <c r="AE14" s="1282"/>
      <c r="AF14" s="1282"/>
      <c r="AG14" s="1282"/>
      <c r="AH14" s="1282"/>
      <c r="AI14" s="1282"/>
      <c r="AJ14" s="1282"/>
      <c r="AK14" s="1282"/>
      <c r="AL14" s="1282"/>
      <c r="AM14" s="1282"/>
      <c r="AN14" s="1282"/>
      <c r="AO14" s="1282"/>
      <c r="AP14" s="1282"/>
      <c r="AQ14" s="1282"/>
      <c r="AR14" s="1282"/>
      <c r="AS14" s="1282"/>
      <c r="AT14" s="1282"/>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2395</v>
      </c>
      <c r="C16" s="4"/>
      <c r="D16" s="4"/>
      <c r="E16" s="4"/>
      <c r="F16" s="4"/>
      <c r="G16" s="4"/>
      <c r="H16" s="1552" t="s">
        <v>2640</v>
      </c>
      <c r="I16" s="1553"/>
      <c r="J16" s="1553"/>
      <c r="K16" s="1553"/>
      <c r="L16" s="1553"/>
      <c r="M16" s="1553"/>
      <c r="N16" s="1553"/>
      <c r="O16" s="1553"/>
      <c r="P16" s="1553"/>
      <c r="Q16" s="1553"/>
      <c r="R16" s="1553"/>
      <c r="S16" s="1553"/>
      <c r="T16" s="1553"/>
      <c r="U16" s="1553"/>
      <c r="V16" s="1553"/>
      <c r="W16" s="1553"/>
      <c r="X16" s="1553"/>
      <c r="Y16" s="1553"/>
      <c r="Z16" s="1553"/>
      <c r="AA16" s="1553"/>
      <c r="AB16" s="1553"/>
      <c r="AC16" s="1553"/>
      <c r="AD16" s="1553"/>
      <c r="AE16" s="1553"/>
      <c r="AF16" s="1553"/>
      <c r="AG16" s="1553"/>
      <c r="AH16" s="1553"/>
      <c r="AI16" s="1553"/>
      <c r="AJ16" s="1553"/>
    </row>
    <row r="17" spans="1:52" ht="12.95" customHeight="1"/>
    <row r="18" spans="1:52" ht="12.95" customHeight="1">
      <c r="A18" s="57" t="s">
        <v>101</v>
      </c>
      <c r="C18" s="4"/>
      <c r="D18" s="4"/>
      <c r="E18" s="4"/>
      <c r="F18" s="4"/>
      <c r="G18" s="4"/>
      <c r="H18" s="1554" t="s">
        <v>2641</v>
      </c>
      <c r="I18" s="1509"/>
      <c r="J18" s="1509"/>
      <c r="K18" s="1509"/>
      <c r="L18" s="1509"/>
      <c r="M18" s="1509"/>
      <c r="N18" s="1509"/>
      <c r="O18" s="1509"/>
      <c r="P18" s="1509"/>
      <c r="Q18" s="1509"/>
      <c r="R18" s="1509"/>
      <c r="S18" s="1509"/>
      <c r="T18" s="1509"/>
      <c r="U18" s="1509"/>
      <c r="V18" s="1509"/>
      <c r="W18" s="1509"/>
      <c r="X18" s="1509"/>
      <c r="Y18" s="1509"/>
      <c r="Z18" s="1509"/>
      <c r="AA18" s="1509"/>
      <c r="AB18" s="1509"/>
      <c r="AC18" s="1509"/>
      <c r="AD18" s="1509"/>
      <c r="AE18" s="1509"/>
      <c r="AF18" s="1509"/>
      <c r="AG18" s="1509"/>
      <c r="AH18" s="1509"/>
      <c r="AI18" s="1509"/>
      <c r="AJ18" s="1509"/>
    </row>
    <row r="19" spans="1:52" ht="12.95" customHeight="1"/>
    <row r="20" spans="1:52" ht="12.95" customHeight="1">
      <c r="A20" s="1860" t="s">
        <v>885</v>
      </c>
      <c r="B20" s="1860"/>
      <c r="C20" s="1860"/>
      <c r="D20" s="1860"/>
      <c r="E20" s="1860"/>
      <c r="F20" s="1860"/>
      <c r="G20" s="1860"/>
      <c r="H20" s="1860"/>
      <c r="I20" s="1860"/>
      <c r="J20" s="1860"/>
      <c r="K20" s="1860"/>
      <c r="L20" s="1860"/>
      <c r="M20" s="1860"/>
      <c r="N20" s="1860"/>
      <c r="O20" s="1860"/>
      <c r="P20" s="1860"/>
      <c r="Q20" s="1860"/>
      <c r="R20" s="1860"/>
      <c r="S20" s="1860"/>
      <c r="T20" s="1860"/>
      <c r="U20" s="1860"/>
      <c r="V20" s="1860"/>
      <c r="W20" s="1860"/>
      <c r="X20" s="1860"/>
      <c r="Y20" s="1860"/>
      <c r="Z20" s="1860"/>
      <c r="AA20" s="1860"/>
      <c r="AB20" s="1860"/>
      <c r="AC20" s="1860"/>
      <c r="AD20" s="1860"/>
      <c r="AE20" s="1860"/>
      <c r="AF20" s="1860"/>
      <c r="AG20" s="1860"/>
      <c r="AH20" s="1860"/>
      <c r="AI20" s="1860"/>
      <c r="AJ20" s="1860"/>
      <c r="AK20" s="1860"/>
      <c r="AL20" s="1860"/>
      <c r="AM20" s="1860"/>
      <c r="AN20" s="1860"/>
      <c r="AO20" s="1860"/>
      <c r="AP20" s="1860"/>
      <c r="AQ20" s="1860"/>
      <c r="AR20" s="1860"/>
      <c r="AS20" s="1860"/>
      <c r="AT20" s="1860"/>
      <c r="AU20" s="935"/>
      <c r="AV20" s="935"/>
      <c r="AW20" s="935"/>
      <c r="AX20" s="935"/>
      <c r="AY20" s="935"/>
    </row>
    <row r="21" spans="1:52" ht="12.95" customHeight="1">
      <c r="A21" s="1863" t="s">
        <v>1034</v>
      </c>
      <c r="B21" s="1863"/>
      <c r="C21" s="1863"/>
      <c r="D21" s="1863"/>
      <c r="E21" s="1863"/>
      <c r="F21" s="1863"/>
      <c r="G21" s="1863"/>
      <c r="H21" s="1863"/>
      <c r="I21" s="1863"/>
      <c r="J21" s="1863"/>
      <c r="K21" s="1863"/>
      <c r="L21" s="1863"/>
      <c r="M21" s="1863"/>
      <c r="N21" s="1863"/>
      <c r="O21" s="1863"/>
      <c r="P21" s="1863"/>
      <c r="Q21" s="1863"/>
      <c r="R21" s="1863"/>
      <c r="S21" s="1863"/>
      <c r="T21" s="1863"/>
      <c r="U21" s="1863"/>
      <c r="V21" s="1863"/>
      <c r="W21" s="1863"/>
      <c r="X21" s="1863"/>
      <c r="Y21" s="1863"/>
      <c r="Z21" s="1863"/>
      <c r="AA21" s="1863"/>
      <c r="AB21" s="1863"/>
      <c r="AC21" s="1863"/>
      <c r="AD21" s="1863"/>
      <c r="AE21" s="1863"/>
      <c r="AF21" s="1863"/>
      <c r="AG21" s="1863"/>
      <c r="AH21" s="1863"/>
      <c r="AI21" s="1863"/>
      <c r="AJ21" s="1863"/>
      <c r="AK21" s="1863"/>
      <c r="AL21" s="1863"/>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8" t="s">
        <v>2507</v>
      </c>
      <c r="B23" s="1358"/>
      <c r="C23" s="1358"/>
      <c r="D23" s="1358"/>
      <c r="E23" s="1358"/>
      <c r="F23" s="1358"/>
      <c r="G23" s="1358"/>
      <c r="H23" s="1358"/>
      <c r="I23" s="1358"/>
      <c r="J23" s="1358"/>
      <c r="K23" s="1358"/>
      <c r="L23" s="1358"/>
      <c r="M23" s="1358"/>
      <c r="N23" s="1358"/>
      <c r="O23" s="1358"/>
      <c r="P23" s="1358"/>
      <c r="Q23" s="1358"/>
      <c r="R23" s="1358"/>
      <c r="S23" s="1358"/>
      <c r="T23" s="1358"/>
      <c r="U23" s="1358"/>
      <c r="V23" s="1358"/>
      <c r="W23" s="1358"/>
      <c r="X23" s="1358"/>
      <c r="Y23" s="1358"/>
      <c r="Z23" s="1358"/>
      <c r="AA23" s="1358"/>
      <c r="AB23" s="1358"/>
      <c r="AC23" s="1358"/>
      <c r="AD23" s="1358"/>
      <c r="AE23" s="1358"/>
      <c r="AF23" s="1358"/>
      <c r="AG23" s="1358"/>
      <c r="AH23" s="1358"/>
      <c r="AI23" s="1358"/>
      <c r="AJ23" s="1358"/>
      <c r="AK23" s="1358"/>
      <c r="AL23" s="1358"/>
      <c r="AM23" s="1358"/>
      <c r="AN23" s="1358"/>
      <c r="AO23" s="1358"/>
      <c r="AP23" s="1358"/>
      <c r="AQ23" s="1358"/>
      <c r="AR23" s="1358"/>
      <c r="AS23" s="1358"/>
      <c r="AT23" s="1358"/>
      <c r="AU23" s="18"/>
      <c r="AV23" s="18"/>
      <c r="AW23" s="18"/>
      <c r="AX23" s="18"/>
      <c r="AY23" s="18"/>
      <c r="AZ23" s="18"/>
    </row>
    <row r="24" spans="1:52" ht="12.95" customHeight="1">
      <c r="A24" s="1358"/>
      <c r="B24" s="1358"/>
      <c r="C24" s="1358"/>
      <c r="D24" s="1358"/>
      <c r="E24" s="1358"/>
      <c r="F24" s="1358"/>
      <c r="G24" s="1358"/>
      <c r="H24" s="1358"/>
      <c r="I24" s="1358"/>
      <c r="J24" s="1358"/>
      <c r="K24" s="1358"/>
      <c r="L24" s="1358"/>
      <c r="M24" s="1358"/>
      <c r="N24" s="1358"/>
      <c r="O24" s="1358"/>
      <c r="P24" s="1358"/>
      <c r="Q24" s="1358"/>
      <c r="R24" s="1358"/>
      <c r="S24" s="1358"/>
      <c r="T24" s="1358"/>
      <c r="U24" s="1358"/>
      <c r="V24" s="1358"/>
      <c r="W24" s="1358"/>
      <c r="X24" s="1358"/>
      <c r="Y24" s="1358"/>
      <c r="Z24" s="1358"/>
      <c r="AA24" s="1358"/>
      <c r="AB24" s="1358"/>
      <c r="AC24" s="1358"/>
      <c r="AD24" s="1358"/>
      <c r="AE24" s="1358"/>
      <c r="AF24" s="1358"/>
      <c r="AG24" s="1358"/>
      <c r="AH24" s="1358"/>
      <c r="AI24" s="1358"/>
      <c r="AJ24" s="1358"/>
      <c r="AK24" s="1358"/>
      <c r="AL24" s="1358"/>
      <c r="AM24" s="1358"/>
      <c r="AN24" s="1358"/>
      <c r="AO24" s="1358"/>
      <c r="AP24" s="1358"/>
      <c r="AQ24" s="1358"/>
      <c r="AR24" s="1358"/>
      <c r="AS24" s="1358"/>
      <c r="AT24" s="1358"/>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62">
        <f>'Basis &amp; Credits'!AB56</f>
        <v>4131173</v>
      </c>
      <c r="N26" s="1862"/>
      <c r="O26" s="1862"/>
      <c r="P26" s="1862"/>
      <c r="Q26" s="1862"/>
      <c r="R26" s="4" t="s">
        <v>769</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5">
        <f>'Basis &amp; Credits'!AB78</f>
        <v>29208650</v>
      </c>
      <c r="N27" s="1365"/>
      <c r="O27" s="1365"/>
      <c r="P27" s="1365"/>
      <c r="Q27" s="1365"/>
      <c r="R27" s="3" t="s">
        <v>1377</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57" t="s">
        <v>2508</v>
      </c>
      <c r="B29" s="1857"/>
      <c r="C29" s="1857"/>
      <c r="D29" s="1857"/>
      <c r="E29" s="1857"/>
      <c r="F29" s="1857"/>
      <c r="G29" s="1857"/>
      <c r="H29" s="1857"/>
      <c r="I29" s="1857"/>
      <c r="J29" s="1857"/>
      <c r="K29" s="1857"/>
      <c r="L29" s="1857"/>
      <c r="M29" s="1857"/>
      <c r="N29" s="1857"/>
      <c r="O29" s="1857"/>
      <c r="P29" s="1857"/>
      <c r="Q29" s="1857"/>
      <c r="R29" s="1857"/>
      <c r="S29" s="1857"/>
      <c r="T29" s="1857"/>
      <c r="U29" s="1857"/>
      <c r="V29" s="1857"/>
      <c r="W29" s="1857"/>
      <c r="X29" s="1857"/>
      <c r="Y29" s="1857"/>
      <c r="Z29" s="1857"/>
      <c r="AA29" s="1857"/>
      <c r="AB29" s="1857"/>
      <c r="AC29" s="1857"/>
      <c r="AD29" s="1857"/>
      <c r="AE29" s="1857"/>
      <c r="AF29" s="1857"/>
      <c r="AG29" s="1857"/>
      <c r="AH29" s="1857"/>
      <c r="AI29" s="1857"/>
      <c r="AJ29" s="1857"/>
      <c r="AK29" s="1857"/>
      <c r="AL29" s="1857"/>
      <c r="AM29" s="1857"/>
      <c r="AN29" s="1857"/>
      <c r="AO29" s="1857"/>
      <c r="AP29" s="1857"/>
      <c r="AQ29" s="1857"/>
      <c r="AR29" s="1857"/>
      <c r="AS29" s="1857"/>
      <c r="AT29" s="1857"/>
    </row>
    <row r="30" spans="1:52" ht="12.95" customHeight="1">
      <c r="A30" s="1857"/>
      <c r="B30" s="1857"/>
      <c r="C30" s="1857"/>
      <c r="D30" s="1857"/>
      <c r="E30" s="1857"/>
      <c r="F30" s="1857"/>
      <c r="G30" s="1857"/>
      <c r="H30" s="1857"/>
      <c r="I30" s="1857"/>
      <c r="J30" s="1857"/>
      <c r="K30" s="1857"/>
      <c r="L30" s="1857"/>
      <c r="M30" s="1857"/>
      <c r="N30" s="1857"/>
      <c r="O30" s="1857"/>
      <c r="P30" s="1857"/>
      <c r="Q30" s="1857"/>
      <c r="R30" s="1857"/>
      <c r="S30" s="1857"/>
      <c r="T30" s="1857"/>
      <c r="U30" s="1857"/>
      <c r="V30" s="1857"/>
      <c r="W30" s="1857"/>
      <c r="X30" s="1857"/>
      <c r="Y30" s="1857"/>
      <c r="Z30" s="1857"/>
      <c r="AA30" s="1857"/>
      <c r="AB30" s="1857"/>
      <c r="AC30" s="1857"/>
      <c r="AD30" s="1857"/>
      <c r="AE30" s="1857"/>
      <c r="AF30" s="1857"/>
      <c r="AG30" s="1857"/>
      <c r="AH30" s="1857"/>
      <c r="AI30" s="1857"/>
      <c r="AJ30" s="1857"/>
      <c r="AK30" s="1857"/>
      <c r="AL30" s="1857"/>
      <c r="AM30" s="1857"/>
      <c r="AN30" s="1857"/>
      <c r="AO30" s="1857"/>
      <c r="AP30" s="1857"/>
      <c r="AQ30" s="1857"/>
      <c r="AR30" s="1857"/>
      <c r="AS30" s="1857"/>
      <c r="AT30" s="1857"/>
      <c r="AZ30" s="20"/>
    </row>
    <row r="31" spans="1:52" ht="12.95" customHeight="1">
      <c r="A31" s="1857"/>
      <c r="B31" s="1857"/>
      <c r="C31" s="1857"/>
      <c r="D31" s="1857"/>
      <c r="E31" s="1857"/>
      <c r="F31" s="1857"/>
      <c r="G31" s="1857"/>
      <c r="H31" s="1857"/>
      <c r="I31" s="1857"/>
      <c r="J31" s="1857"/>
      <c r="K31" s="1857"/>
      <c r="L31" s="1857"/>
      <c r="M31" s="1857"/>
      <c r="N31" s="1857"/>
      <c r="O31" s="1857"/>
      <c r="P31" s="1857"/>
      <c r="Q31" s="1857"/>
      <c r="R31" s="1857"/>
      <c r="S31" s="1857"/>
      <c r="T31" s="1857"/>
      <c r="U31" s="1857"/>
      <c r="V31" s="1857"/>
      <c r="W31" s="1857"/>
      <c r="X31" s="1857"/>
      <c r="Y31" s="1857"/>
      <c r="Z31" s="1857"/>
      <c r="AA31" s="1857"/>
      <c r="AB31" s="1857"/>
      <c r="AC31" s="1857"/>
      <c r="AD31" s="1857"/>
      <c r="AE31" s="1857"/>
      <c r="AF31" s="1857"/>
      <c r="AG31" s="1857"/>
      <c r="AH31" s="1857"/>
      <c r="AI31" s="1857"/>
      <c r="AJ31" s="1857"/>
      <c r="AK31" s="1857"/>
      <c r="AL31" s="1857"/>
      <c r="AM31" s="1857"/>
      <c r="AN31" s="1857"/>
      <c r="AO31" s="1857"/>
      <c r="AP31" s="1857"/>
      <c r="AQ31" s="1857"/>
      <c r="AR31" s="1857"/>
      <c r="AS31" s="1857"/>
      <c r="AT31" s="1857"/>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1388</v>
      </c>
      <c r="C33" s="553"/>
      <c r="D33" s="553"/>
      <c r="E33" s="553"/>
      <c r="F33" s="553"/>
      <c r="G33" s="553"/>
      <c r="H33" s="553"/>
      <c r="I33" s="553"/>
      <c r="J33" s="553"/>
      <c r="K33" s="553"/>
      <c r="L33" s="553"/>
      <c r="M33" s="553"/>
      <c r="N33" s="553"/>
      <c r="O33" s="1494" t="s">
        <v>554</v>
      </c>
      <c r="P33" s="1494"/>
      <c r="Q33" s="1861" t="s">
        <v>2509</v>
      </c>
      <c r="R33" s="1861"/>
      <c r="S33" s="1861"/>
      <c r="T33" s="1861"/>
      <c r="U33" s="1861"/>
      <c r="V33" s="1861"/>
      <c r="W33" s="1861"/>
      <c r="X33" s="1861"/>
      <c r="Y33" s="1861"/>
      <c r="Z33" s="1861"/>
      <c r="AA33" s="1861"/>
      <c r="AB33" s="1861"/>
      <c r="AC33" s="1861"/>
      <c r="AD33" s="1861"/>
      <c r="AE33" s="1861"/>
      <c r="AF33" s="1861"/>
      <c r="AG33" s="1861"/>
      <c r="AH33" s="1861"/>
      <c r="AI33" s="1861"/>
      <c r="AJ33" s="1861"/>
      <c r="AK33" s="1861"/>
      <c r="AL33" s="1861"/>
      <c r="AM33" s="1861"/>
      <c r="AN33" s="1861"/>
      <c r="AO33" s="1861"/>
      <c r="AP33" s="1861"/>
      <c r="AQ33" s="1861"/>
      <c r="AR33" s="1861"/>
      <c r="AS33" s="1861"/>
      <c r="AT33" s="1861"/>
      <c r="AU33" s="20"/>
      <c r="AV33" s="20"/>
      <c r="AW33" s="20"/>
      <c r="AX33" s="20"/>
      <c r="AY33" s="20"/>
    </row>
    <row r="34" spans="1:52" ht="12.95" customHeight="1">
      <c r="A34" s="1857" t="s">
        <v>2510</v>
      </c>
      <c r="B34" s="1857"/>
      <c r="C34" s="1857"/>
      <c r="D34" s="1857"/>
      <c r="E34" s="1857"/>
      <c r="F34" s="1857"/>
      <c r="G34" s="1857"/>
      <c r="H34" s="1857"/>
      <c r="I34" s="1857"/>
      <c r="J34" s="1857"/>
      <c r="K34" s="1857"/>
      <c r="L34" s="1857"/>
      <c r="M34" s="1857"/>
      <c r="N34" s="1857"/>
      <c r="O34" s="1857"/>
      <c r="P34" s="1857"/>
      <c r="Q34" s="1857"/>
      <c r="R34" s="1857"/>
      <c r="S34" s="1857"/>
      <c r="T34" s="1857"/>
      <c r="U34" s="1857"/>
      <c r="V34" s="1857"/>
      <c r="W34" s="1857"/>
      <c r="X34" s="1857"/>
      <c r="Y34" s="1857"/>
      <c r="Z34" s="1857"/>
      <c r="AA34" s="1857"/>
      <c r="AB34" s="1857"/>
      <c r="AC34" s="1857"/>
      <c r="AD34" s="1857"/>
      <c r="AE34" s="1857"/>
      <c r="AF34" s="1857"/>
      <c r="AG34" s="1857"/>
      <c r="AH34" s="1857"/>
      <c r="AI34" s="1857"/>
      <c r="AJ34" s="1857"/>
      <c r="AK34" s="1857"/>
      <c r="AL34" s="1857"/>
      <c r="AM34" s="1857"/>
      <c r="AN34" s="1857"/>
      <c r="AO34" s="1857"/>
      <c r="AP34" s="1857"/>
      <c r="AQ34" s="1857"/>
      <c r="AR34" s="1857"/>
      <c r="AS34" s="1857"/>
      <c r="AT34" s="1857"/>
      <c r="AU34" s="20"/>
      <c r="AV34" s="20"/>
      <c r="AW34" s="20"/>
      <c r="AX34" s="20"/>
      <c r="AY34" s="20"/>
      <c r="AZ34" s="20"/>
    </row>
    <row r="35" spans="1:52" ht="12.95" customHeight="1">
      <c r="A35" s="1857"/>
      <c r="B35" s="1857"/>
      <c r="C35" s="1857"/>
      <c r="D35" s="1857"/>
      <c r="E35" s="1857"/>
      <c r="F35" s="1857"/>
      <c r="G35" s="1857"/>
      <c r="H35" s="1857"/>
      <c r="I35" s="1857"/>
      <c r="J35" s="1857"/>
      <c r="K35" s="1857"/>
      <c r="L35" s="1857"/>
      <c r="M35" s="1857"/>
      <c r="N35" s="1857"/>
      <c r="O35" s="1857"/>
      <c r="P35" s="1857"/>
      <c r="Q35" s="1857"/>
      <c r="R35" s="1857"/>
      <c r="S35" s="1857"/>
      <c r="T35" s="1857"/>
      <c r="U35" s="1857"/>
      <c r="V35" s="1857"/>
      <c r="W35" s="1857"/>
      <c r="X35" s="1857"/>
      <c r="Y35" s="1857"/>
      <c r="Z35" s="1857"/>
      <c r="AA35" s="1857"/>
      <c r="AB35" s="1857"/>
      <c r="AC35" s="1857"/>
      <c r="AD35" s="1857"/>
      <c r="AE35" s="1857"/>
      <c r="AF35" s="1857"/>
      <c r="AG35" s="1857"/>
      <c r="AH35" s="1857"/>
      <c r="AI35" s="1857"/>
      <c r="AJ35" s="1857"/>
      <c r="AK35" s="1857"/>
      <c r="AL35" s="1857"/>
      <c r="AM35" s="1857"/>
      <c r="AN35" s="1857"/>
      <c r="AO35" s="1857"/>
      <c r="AP35" s="1857"/>
      <c r="AQ35" s="1857"/>
      <c r="AR35" s="1857"/>
      <c r="AS35" s="1857"/>
      <c r="AT35" s="1857"/>
      <c r="AU35" s="20"/>
      <c r="AV35" s="20"/>
      <c r="AW35" s="20"/>
      <c r="AX35" s="20"/>
      <c r="AY35" s="20"/>
      <c r="AZ35" s="20"/>
    </row>
    <row r="36" spans="1:52" ht="12.95" customHeight="1">
      <c r="A36" s="1857"/>
      <c r="B36" s="1857"/>
      <c r="C36" s="1857"/>
      <c r="D36" s="1857"/>
      <c r="E36" s="1857"/>
      <c r="F36" s="1857"/>
      <c r="G36" s="1857"/>
      <c r="H36" s="1857"/>
      <c r="I36" s="1857"/>
      <c r="J36" s="1857"/>
      <c r="K36" s="1857"/>
      <c r="L36" s="1857"/>
      <c r="M36" s="1857"/>
      <c r="N36" s="1857"/>
      <c r="O36" s="1857"/>
      <c r="P36" s="1857"/>
      <c r="Q36" s="1857"/>
      <c r="R36" s="1857"/>
      <c r="S36" s="1857"/>
      <c r="T36" s="1857"/>
      <c r="U36" s="1857"/>
      <c r="V36" s="1857"/>
      <c r="W36" s="1857"/>
      <c r="X36" s="1857"/>
      <c r="Y36" s="1857"/>
      <c r="Z36" s="1857"/>
      <c r="AA36" s="1857"/>
      <c r="AB36" s="1857"/>
      <c r="AC36" s="1857"/>
      <c r="AD36" s="1857"/>
      <c r="AE36" s="1857"/>
      <c r="AF36" s="1857"/>
      <c r="AG36" s="1857"/>
      <c r="AH36" s="1857"/>
      <c r="AI36" s="1857"/>
      <c r="AJ36" s="1857"/>
      <c r="AK36" s="1857"/>
      <c r="AL36" s="1857"/>
      <c r="AM36" s="1857"/>
      <c r="AN36" s="1857"/>
      <c r="AO36" s="1857"/>
      <c r="AP36" s="1857"/>
      <c r="AQ36" s="1857"/>
      <c r="AR36" s="1857"/>
      <c r="AS36" s="1857"/>
      <c r="AT36" s="1857"/>
      <c r="AU36" s="20"/>
      <c r="AV36" s="20"/>
      <c r="AW36" s="20"/>
      <c r="AX36" s="20"/>
      <c r="AY36" s="20"/>
      <c r="AZ36" s="20"/>
    </row>
    <row r="37" spans="1:52" ht="12.95" customHeight="1">
      <c r="A37" s="1857"/>
      <c r="B37" s="1857"/>
      <c r="C37" s="1857"/>
      <c r="D37" s="1857"/>
      <c r="E37" s="1857"/>
      <c r="F37" s="1857"/>
      <c r="G37" s="1857"/>
      <c r="H37" s="1857"/>
      <c r="I37" s="1857"/>
      <c r="J37" s="1857"/>
      <c r="K37" s="1857"/>
      <c r="L37" s="1857"/>
      <c r="M37" s="1857"/>
      <c r="N37" s="1857"/>
      <c r="O37" s="1857"/>
      <c r="P37" s="1857"/>
      <c r="Q37" s="1857"/>
      <c r="R37" s="1857"/>
      <c r="S37" s="1857"/>
      <c r="T37" s="1857"/>
      <c r="U37" s="1857"/>
      <c r="V37" s="1857"/>
      <c r="W37" s="1857"/>
      <c r="X37" s="1857"/>
      <c r="Y37" s="1857"/>
      <c r="Z37" s="1857"/>
      <c r="AA37" s="1857"/>
      <c r="AB37" s="1857"/>
      <c r="AC37" s="1857"/>
      <c r="AD37" s="1857"/>
      <c r="AE37" s="1857"/>
      <c r="AF37" s="1857"/>
      <c r="AG37" s="1857"/>
      <c r="AH37" s="1857"/>
      <c r="AI37" s="1857"/>
      <c r="AJ37" s="1857"/>
      <c r="AK37" s="1857"/>
      <c r="AL37" s="1857"/>
      <c r="AM37" s="1857"/>
      <c r="AN37" s="1857"/>
      <c r="AO37" s="1857"/>
      <c r="AP37" s="1857"/>
      <c r="AQ37" s="1857"/>
      <c r="AR37" s="1857"/>
      <c r="AS37" s="1857"/>
      <c r="AT37" s="1857"/>
      <c r="AZ37" s="20"/>
    </row>
    <row r="38" spans="1:52" ht="12.95" customHeight="1">
      <c r="A38" s="3"/>
      <c r="AZ38" s="20"/>
    </row>
    <row r="39" spans="1:52" ht="12.95" customHeight="1">
      <c r="A39" s="1272" t="s">
        <v>2511</v>
      </c>
      <c r="B39" s="1272"/>
      <c r="C39" s="1272"/>
      <c r="D39" s="1272"/>
      <c r="E39" s="1272"/>
      <c r="F39" s="1272"/>
      <c r="G39" s="1272"/>
      <c r="H39" s="1272"/>
      <c r="I39" s="1272"/>
      <c r="J39" s="1272"/>
      <c r="K39" s="1272"/>
      <c r="L39" s="1272"/>
      <c r="M39" s="1272"/>
      <c r="N39" s="1272"/>
      <c r="O39" s="1272"/>
      <c r="P39" s="1272"/>
      <c r="Q39" s="1272"/>
      <c r="R39" s="1272"/>
      <c r="S39" s="1272"/>
      <c r="T39" s="1272"/>
      <c r="U39" s="1272"/>
      <c r="V39" s="1272"/>
      <c r="W39" s="1272"/>
      <c r="X39" s="1272"/>
      <c r="Y39" s="1272"/>
      <c r="Z39" s="1272"/>
      <c r="AA39" s="1272"/>
      <c r="AB39" s="1272"/>
      <c r="AC39" s="1272"/>
      <c r="AD39" s="1272"/>
      <c r="AE39" s="1272"/>
      <c r="AF39" s="1272"/>
      <c r="AG39" s="1272"/>
      <c r="AH39" s="1272"/>
      <c r="AI39" s="1272"/>
      <c r="AJ39" s="1272"/>
      <c r="AK39" s="1272"/>
      <c r="AL39" s="1272"/>
      <c r="AM39" s="1272"/>
      <c r="AN39" s="1272"/>
      <c r="AO39" s="1272"/>
      <c r="AP39" s="1272"/>
      <c r="AQ39" s="1272"/>
      <c r="AR39" s="1272"/>
      <c r="AS39" s="1272"/>
      <c r="AT39" s="1272"/>
      <c r="AZ39" s="20"/>
    </row>
    <row r="40" spans="1:52" ht="12.95" customHeight="1">
      <c r="A40" s="1272"/>
      <c r="B40" s="1272"/>
      <c r="C40" s="1272"/>
      <c r="D40" s="1272"/>
      <c r="E40" s="1272"/>
      <c r="F40" s="1272"/>
      <c r="G40" s="1272"/>
      <c r="H40" s="1272"/>
      <c r="I40" s="1272"/>
      <c r="J40" s="1272"/>
      <c r="K40" s="1272"/>
      <c r="L40" s="1272"/>
      <c r="M40" s="1272"/>
      <c r="N40" s="1272"/>
      <c r="O40" s="1272"/>
      <c r="P40" s="1272"/>
      <c r="Q40" s="1272"/>
      <c r="R40" s="1272"/>
      <c r="S40" s="1272"/>
      <c r="T40" s="1272"/>
      <c r="U40" s="1272"/>
      <c r="V40" s="1272"/>
      <c r="W40" s="1272"/>
      <c r="X40" s="1272"/>
      <c r="Y40" s="1272"/>
      <c r="Z40" s="1272"/>
      <c r="AA40" s="1272"/>
      <c r="AB40" s="1272"/>
      <c r="AC40" s="1272"/>
      <c r="AD40" s="1272"/>
      <c r="AE40" s="1272"/>
      <c r="AF40" s="1272"/>
      <c r="AG40" s="1272"/>
      <c r="AH40" s="1272"/>
      <c r="AI40" s="1272"/>
      <c r="AJ40" s="1272"/>
      <c r="AK40" s="1272"/>
      <c r="AL40" s="1272"/>
      <c r="AM40" s="1272"/>
      <c r="AN40" s="1272"/>
      <c r="AO40" s="1272"/>
      <c r="AP40" s="1272"/>
      <c r="AQ40" s="1272"/>
      <c r="AR40" s="1272"/>
      <c r="AS40" s="1272"/>
      <c r="AT40" s="1272"/>
      <c r="AU40" s="20"/>
      <c r="AV40" s="20"/>
      <c r="AW40" s="20"/>
      <c r="AX40" s="20"/>
      <c r="AY40" s="20"/>
      <c r="AZ40" s="20"/>
    </row>
    <row r="41" spans="1:52" ht="12.95" customHeight="1">
      <c r="A41" s="1272"/>
      <c r="B41" s="1272"/>
      <c r="C41" s="1272"/>
      <c r="D41" s="1272"/>
      <c r="E41" s="1272"/>
      <c r="F41" s="1272"/>
      <c r="G41" s="1272"/>
      <c r="H41" s="1272"/>
      <c r="I41" s="1272"/>
      <c r="J41" s="1272"/>
      <c r="K41" s="1272"/>
      <c r="L41" s="1272"/>
      <c r="M41" s="1272"/>
      <c r="N41" s="1272"/>
      <c r="O41" s="1272"/>
      <c r="P41" s="1272"/>
      <c r="Q41" s="1272"/>
      <c r="R41" s="1272"/>
      <c r="S41" s="1272"/>
      <c r="T41" s="1272"/>
      <c r="U41" s="1272"/>
      <c r="V41" s="1272"/>
      <c r="W41" s="1272"/>
      <c r="X41" s="1272"/>
      <c r="Y41" s="1272"/>
      <c r="Z41" s="1272"/>
      <c r="AA41" s="1272"/>
      <c r="AB41" s="1272"/>
      <c r="AC41" s="1272"/>
      <c r="AD41" s="1272"/>
      <c r="AE41" s="1272"/>
      <c r="AF41" s="1272"/>
      <c r="AG41" s="1272"/>
      <c r="AH41" s="1272"/>
      <c r="AI41" s="1272"/>
      <c r="AJ41" s="1272"/>
      <c r="AK41" s="1272"/>
      <c r="AL41" s="1272"/>
      <c r="AM41" s="1272"/>
      <c r="AN41" s="1272"/>
      <c r="AO41" s="1272"/>
      <c r="AP41" s="1272"/>
      <c r="AQ41" s="1272"/>
      <c r="AR41" s="1272"/>
      <c r="AS41" s="1272"/>
      <c r="AT41" s="1272"/>
      <c r="AU41" s="20"/>
      <c r="AV41" s="20"/>
      <c r="AW41" s="20"/>
      <c r="AX41" s="20"/>
      <c r="AY41" s="20"/>
      <c r="AZ41" s="20"/>
    </row>
    <row r="42" spans="1:52" ht="12.95" customHeight="1">
      <c r="A42" s="1272"/>
      <c r="B42" s="1272"/>
      <c r="C42" s="1272"/>
      <c r="D42" s="1272"/>
      <c r="E42" s="1272"/>
      <c r="F42" s="1272"/>
      <c r="G42" s="1272"/>
      <c r="H42" s="1272"/>
      <c r="I42" s="1272"/>
      <c r="J42" s="1272"/>
      <c r="K42" s="1272"/>
      <c r="L42" s="1272"/>
      <c r="M42" s="1272"/>
      <c r="N42" s="1272"/>
      <c r="O42" s="1272"/>
      <c r="P42" s="1272"/>
      <c r="Q42" s="1272"/>
      <c r="R42" s="1272"/>
      <c r="S42" s="1272"/>
      <c r="T42" s="1272"/>
      <c r="U42" s="1272"/>
      <c r="V42" s="1272"/>
      <c r="W42" s="1272"/>
      <c r="X42" s="1272"/>
      <c r="Y42" s="1272"/>
      <c r="Z42" s="1272"/>
      <c r="AA42" s="1272"/>
      <c r="AB42" s="1272"/>
      <c r="AC42" s="1272"/>
      <c r="AD42" s="1272"/>
      <c r="AE42" s="1272"/>
      <c r="AF42" s="1272"/>
      <c r="AG42" s="1272"/>
      <c r="AH42" s="1272"/>
      <c r="AI42" s="1272"/>
      <c r="AJ42" s="1272"/>
      <c r="AK42" s="1272"/>
      <c r="AL42" s="1272"/>
      <c r="AM42" s="1272"/>
      <c r="AN42" s="1272"/>
      <c r="AO42" s="1272"/>
      <c r="AP42" s="1272"/>
      <c r="AQ42" s="1272"/>
      <c r="AR42" s="1272"/>
      <c r="AS42" s="1272"/>
      <c r="AT42" s="1272"/>
      <c r="AZ42" s="20"/>
    </row>
    <row r="43" spans="1:52" ht="12.95" customHeight="1">
      <c r="A43" s="1272"/>
      <c r="B43" s="1272"/>
      <c r="C43" s="1272"/>
      <c r="D43" s="1272"/>
      <c r="E43" s="1272"/>
      <c r="F43" s="1272"/>
      <c r="G43" s="1272"/>
      <c r="H43" s="1272"/>
      <c r="I43" s="1272"/>
      <c r="J43" s="1272"/>
      <c r="K43" s="1272"/>
      <c r="L43" s="1272"/>
      <c r="M43" s="1272"/>
      <c r="N43" s="1272"/>
      <c r="O43" s="1272"/>
      <c r="P43" s="1272"/>
      <c r="Q43" s="1272"/>
      <c r="R43" s="1272"/>
      <c r="S43" s="1272"/>
      <c r="T43" s="1272"/>
      <c r="U43" s="1272"/>
      <c r="V43" s="1272"/>
      <c r="W43" s="1272"/>
      <c r="X43" s="1272"/>
      <c r="Y43" s="1272"/>
      <c r="Z43" s="1272"/>
      <c r="AA43" s="1272"/>
      <c r="AB43" s="1272"/>
      <c r="AC43" s="1272"/>
      <c r="AD43" s="1272"/>
      <c r="AE43" s="1272"/>
      <c r="AF43" s="1272"/>
      <c r="AG43" s="1272"/>
      <c r="AH43" s="1272"/>
      <c r="AI43" s="1272"/>
      <c r="AJ43" s="1272"/>
      <c r="AK43" s="1272"/>
      <c r="AL43" s="1272"/>
      <c r="AM43" s="1272"/>
      <c r="AN43" s="1272"/>
      <c r="AO43" s="1272"/>
      <c r="AP43" s="1272"/>
      <c r="AQ43" s="1272"/>
      <c r="AR43" s="1272"/>
      <c r="AS43" s="1272"/>
      <c r="AT43" s="1272"/>
      <c r="AU43" s="20"/>
      <c r="AV43" s="20"/>
      <c r="AW43" s="20"/>
      <c r="AX43" s="20"/>
      <c r="AY43" s="20"/>
      <c r="AZ43" s="20"/>
    </row>
    <row r="44" spans="1:52" ht="12.95" customHeight="1">
      <c r="A44" s="1272"/>
      <c r="B44" s="1272"/>
      <c r="C44" s="1272"/>
      <c r="D44" s="1272"/>
      <c r="E44" s="1272"/>
      <c r="F44" s="1272"/>
      <c r="G44" s="1272"/>
      <c r="H44" s="1272"/>
      <c r="I44" s="1272"/>
      <c r="J44" s="1272"/>
      <c r="K44" s="1272"/>
      <c r="L44" s="1272"/>
      <c r="M44" s="1272"/>
      <c r="N44" s="1272"/>
      <c r="O44" s="1272"/>
      <c r="P44" s="1272"/>
      <c r="Q44" s="1272"/>
      <c r="R44" s="1272"/>
      <c r="S44" s="1272"/>
      <c r="T44" s="1272"/>
      <c r="U44" s="1272"/>
      <c r="V44" s="1272"/>
      <c r="W44" s="1272"/>
      <c r="X44" s="1272"/>
      <c r="Y44" s="1272"/>
      <c r="Z44" s="1272"/>
      <c r="AA44" s="1272"/>
      <c r="AB44" s="1272"/>
      <c r="AC44" s="1272"/>
      <c r="AD44" s="1272"/>
      <c r="AE44" s="1272"/>
      <c r="AF44" s="1272"/>
      <c r="AG44" s="1272"/>
      <c r="AH44" s="1272"/>
      <c r="AI44" s="1272"/>
      <c r="AJ44" s="1272"/>
      <c r="AK44" s="1272"/>
      <c r="AL44" s="1272"/>
      <c r="AM44" s="1272"/>
      <c r="AN44" s="1272"/>
      <c r="AO44" s="1272"/>
      <c r="AP44" s="1272"/>
      <c r="AQ44" s="1272"/>
      <c r="AR44" s="1272"/>
      <c r="AS44" s="1272"/>
      <c r="AT44" s="1272"/>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8" t="s">
        <v>2512</v>
      </c>
      <c r="B46" s="1358"/>
      <c r="C46" s="1358"/>
      <c r="D46" s="1358"/>
      <c r="E46" s="1358"/>
      <c r="F46" s="1358"/>
      <c r="G46" s="1358"/>
      <c r="H46" s="1358"/>
      <c r="I46" s="1358"/>
      <c r="J46" s="1358"/>
      <c r="K46" s="1358"/>
      <c r="L46" s="1358"/>
      <c r="M46" s="1358"/>
      <c r="N46" s="1358"/>
      <c r="O46" s="1358"/>
      <c r="P46" s="1358"/>
      <c r="Q46" s="1358"/>
      <c r="R46" s="1358"/>
      <c r="S46" s="1358"/>
      <c r="T46" s="1358"/>
      <c r="U46" s="1358"/>
      <c r="V46" s="1358"/>
      <c r="W46" s="1358"/>
      <c r="X46" s="1358"/>
      <c r="Y46" s="1358"/>
      <c r="Z46" s="1358"/>
      <c r="AA46" s="1358"/>
      <c r="AB46" s="1358"/>
      <c r="AC46" s="1358"/>
      <c r="AD46" s="1358"/>
      <c r="AE46" s="1358"/>
      <c r="AF46" s="1358"/>
      <c r="AG46" s="1358"/>
      <c r="AH46" s="1358"/>
      <c r="AI46" s="1358"/>
      <c r="AJ46" s="1358"/>
      <c r="AK46" s="1358"/>
      <c r="AL46" s="1358"/>
      <c r="AM46" s="1358"/>
      <c r="AN46" s="1358"/>
      <c r="AO46" s="1358"/>
      <c r="AP46" s="1358"/>
      <c r="AQ46" s="1358"/>
      <c r="AR46" s="1358"/>
      <c r="AS46" s="1358"/>
      <c r="AT46" s="1358"/>
      <c r="AU46" s="20"/>
      <c r="AV46" s="20"/>
      <c r="AW46" s="20"/>
      <c r="AX46" s="20"/>
      <c r="AY46" s="20"/>
      <c r="AZ46" s="20"/>
    </row>
    <row r="47" spans="1:52" ht="12.95" customHeight="1">
      <c r="A47" s="1358"/>
      <c r="B47" s="1358"/>
      <c r="C47" s="1358"/>
      <c r="D47" s="1358"/>
      <c r="E47" s="1358"/>
      <c r="F47" s="1358"/>
      <c r="G47" s="1358"/>
      <c r="H47" s="1358"/>
      <c r="I47" s="1358"/>
      <c r="J47" s="1358"/>
      <c r="K47" s="1358"/>
      <c r="L47" s="1358"/>
      <c r="M47" s="1358"/>
      <c r="N47" s="1358"/>
      <c r="O47" s="1358"/>
      <c r="P47" s="1358"/>
      <c r="Q47" s="1358"/>
      <c r="R47" s="1358"/>
      <c r="S47" s="1358"/>
      <c r="T47" s="1358"/>
      <c r="U47" s="1358"/>
      <c r="V47" s="1358"/>
      <c r="W47" s="1358"/>
      <c r="X47" s="1358"/>
      <c r="Y47" s="1358"/>
      <c r="Z47" s="1358"/>
      <c r="AA47" s="1358"/>
      <c r="AB47" s="1358"/>
      <c r="AC47" s="1358"/>
      <c r="AD47" s="1358"/>
      <c r="AE47" s="1358"/>
      <c r="AF47" s="1358"/>
      <c r="AG47" s="1358"/>
      <c r="AH47" s="1358"/>
      <c r="AI47" s="1358"/>
      <c r="AJ47" s="1358"/>
      <c r="AK47" s="1358"/>
      <c r="AL47" s="1358"/>
      <c r="AM47" s="1358"/>
      <c r="AN47" s="1358"/>
      <c r="AO47" s="1358"/>
      <c r="AP47" s="1358"/>
      <c r="AQ47" s="1358"/>
      <c r="AR47" s="1358"/>
      <c r="AS47" s="1358"/>
      <c r="AT47" s="1358"/>
      <c r="AU47" s="20"/>
      <c r="AV47" s="20"/>
      <c r="AW47" s="20"/>
      <c r="AX47" s="20"/>
      <c r="AY47" s="20"/>
      <c r="AZ47" s="20"/>
    </row>
    <row r="48" spans="1:52" ht="12.95" customHeight="1">
      <c r="A48" s="1358"/>
      <c r="B48" s="1358"/>
      <c r="C48" s="1358"/>
      <c r="D48" s="1358"/>
      <c r="E48" s="1358"/>
      <c r="F48" s="1358"/>
      <c r="G48" s="1358"/>
      <c r="H48" s="1358"/>
      <c r="I48" s="1358"/>
      <c r="J48" s="1358"/>
      <c r="K48" s="1358"/>
      <c r="L48" s="1358"/>
      <c r="M48" s="1358"/>
      <c r="N48" s="1358"/>
      <c r="O48" s="1358"/>
      <c r="P48" s="1358"/>
      <c r="Q48" s="1358"/>
      <c r="R48" s="1358"/>
      <c r="S48" s="1358"/>
      <c r="T48" s="1358"/>
      <c r="U48" s="1358"/>
      <c r="V48" s="1358"/>
      <c r="W48" s="1358"/>
      <c r="X48" s="1358"/>
      <c r="Y48" s="1358"/>
      <c r="Z48" s="1358"/>
      <c r="AA48" s="1358"/>
      <c r="AB48" s="1358"/>
      <c r="AC48" s="1358"/>
      <c r="AD48" s="1358"/>
      <c r="AE48" s="1358"/>
      <c r="AF48" s="1358"/>
      <c r="AG48" s="1358"/>
      <c r="AH48" s="1358"/>
      <c r="AI48" s="1358"/>
      <c r="AJ48" s="1358"/>
      <c r="AK48" s="1358"/>
      <c r="AL48" s="1358"/>
      <c r="AM48" s="1358"/>
      <c r="AN48" s="1358"/>
      <c r="AO48" s="1358"/>
      <c r="AP48" s="1358"/>
      <c r="AQ48" s="1358"/>
      <c r="AR48" s="1358"/>
      <c r="AS48" s="1358"/>
      <c r="AT48" s="1358"/>
      <c r="AU48" s="20"/>
      <c r="AV48" s="20"/>
      <c r="AW48" s="20"/>
      <c r="AX48" s="20"/>
      <c r="AY48" s="20"/>
      <c r="AZ48" s="20"/>
    </row>
    <row r="49" spans="1:52" ht="12.95" customHeight="1">
      <c r="A49" s="1358"/>
      <c r="B49" s="1358"/>
      <c r="C49" s="1358"/>
      <c r="D49" s="1358"/>
      <c r="E49" s="1358"/>
      <c r="F49" s="1358"/>
      <c r="G49" s="1358"/>
      <c r="H49" s="1358"/>
      <c r="I49" s="1358"/>
      <c r="J49" s="1358"/>
      <c r="K49" s="1358"/>
      <c r="L49" s="1358"/>
      <c r="M49" s="1358"/>
      <c r="N49" s="1358"/>
      <c r="O49" s="1358"/>
      <c r="P49" s="1358"/>
      <c r="Q49" s="1358"/>
      <c r="R49" s="1358"/>
      <c r="S49" s="1358"/>
      <c r="T49" s="1358"/>
      <c r="U49" s="1358"/>
      <c r="V49" s="1358"/>
      <c r="W49" s="1358"/>
      <c r="X49" s="1358"/>
      <c r="Y49" s="1358"/>
      <c r="Z49" s="1358"/>
      <c r="AA49" s="1358"/>
      <c r="AB49" s="1358"/>
      <c r="AC49" s="1358"/>
      <c r="AD49" s="1358"/>
      <c r="AE49" s="1358"/>
      <c r="AF49" s="1358"/>
      <c r="AG49" s="1358"/>
      <c r="AH49" s="1358"/>
      <c r="AI49" s="1358"/>
      <c r="AJ49" s="1358"/>
      <c r="AK49" s="1358"/>
      <c r="AL49" s="1358"/>
      <c r="AM49" s="1358"/>
      <c r="AN49" s="1358"/>
      <c r="AO49" s="1358"/>
      <c r="AP49" s="1358"/>
      <c r="AQ49" s="1358"/>
      <c r="AR49" s="1358"/>
      <c r="AS49" s="1358"/>
      <c r="AT49" s="1358"/>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72" t="s">
        <v>2513</v>
      </c>
      <c r="B51" s="1272"/>
      <c r="C51" s="1272"/>
      <c r="D51" s="1272"/>
      <c r="E51" s="1272"/>
      <c r="F51" s="1272"/>
      <c r="G51" s="1272"/>
      <c r="H51" s="1272"/>
      <c r="I51" s="1272"/>
      <c r="J51" s="1272"/>
      <c r="K51" s="1272"/>
      <c r="L51" s="1272"/>
      <c r="M51" s="1272"/>
      <c r="N51" s="1272"/>
      <c r="O51" s="1272"/>
      <c r="P51" s="1272"/>
      <c r="Q51" s="1272"/>
      <c r="R51" s="1272"/>
      <c r="S51" s="1272"/>
      <c r="T51" s="1272"/>
      <c r="U51" s="1272"/>
      <c r="V51" s="1272"/>
      <c r="W51" s="1272"/>
      <c r="X51" s="1272"/>
      <c r="Y51" s="1272"/>
      <c r="Z51" s="1272"/>
      <c r="AA51" s="1272"/>
      <c r="AB51" s="1272"/>
      <c r="AC51" s="1272"/>
      <c r="AD51" s="1272"/>
      <c r="AE51" s="1272"/>
      <c r="AF51" s="1272"/>
      <c r="AG51" s="1272"/>
      <c r="AH51" s="1272"/>
      <c r="AI51" s="1272"/>
      <c r="AJ51" s="1272"/>
      <c r="AK51" s="1272"/>
      <c r="AL51" s="1272"/>
      <c r="AM51" s="1272"/>
      <c r="AN51" s="1272"/>
      <c r="AO51" s="1272"/>
      <c r="AP51" s="1272"/>
      <c r="AQ51" s="1272"/>
      <c r="AR51" s="1272"/>
      <c r="AS51" s="1272"/>
      <c r="AT51" s="1272"/>
      <c r="AU51" s="20"/>
      <c r="AV51" s="20"/>
      <c r="AW51" s="20"/>
      <c r="AX51" s="20"/>
      <c r="AY51" s="20"/>
      <c r="AZ51" s="20"/>
    </row>
    <row r="52" spans="1:52" ht="12.95" customHeight="1">
      <c r="A52" s="1272"/>
      <c r="B52" s="1272"/>
      <c r="C52" s="1272"/>
      <c r="D52" s="1272"/>
      <c r="E52" s="1272"/>
      <c r="F52" s="1272"/>
      <c r="G52" s="1272"/>
      <c r="H52" s="1272"/>
      <c r="I52" s="1272"/>
      <c r="J52" s="1272"/>
      <c r="K52" s="1272"/>
      <c r="L52" s="1272"/>
      <c r="M52" s="1272"/>
      <c r="N52" s="1272"/>
      <c r="O52" s="1272"/>
      <c r="P52" s="1272"/>
      <c r="Q52" s="1272"/>
      <c r="R52" s="1272"/>
      <c r="S52" s="1272"/>
      <c r="T52" s="1272"/>
      <c r="U52" s="1272"/>
      <c r="V52" s="1272"/>
      <c r="W52" s="1272"/>
      <c r="X52" s="1272"/>
      <c r="Y52" s="1272"/>
      <c r="Z52" s="1272"/>
      <c r="AA52" s="1272"/>
      <c r="AB52" s="1272"/>
      <c r="AC52" s="1272"/>
      <c r="AD52" s="1272"/>
      <c r="AE52" s="1272"/>
      <c r="AF52" s="1272"/>
      <c r="AG52" s="1272"/>
      <c r="AH52" s="1272"/>
      <c r="AI52" s="1272"/>
      <c r="AJ52" s="1272"/>
      <c r="AK52" s="1272"/>
      <c r="AL52" s="1272"/>
      <c r="AM52" s="1272"/>
      <c r="AN52" s="1272"/>
      <c r="AO52" s="1272"/>
      <c r="AP52" s="1272"/>
      <c r="AQ52" s="1272"/>
      <c r="AR52" s="1272"/>
      <c r="AS52" s="1272"/>
      <c r="AT52" s="1272"/>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72" t="s">
        <v>2514</v>
      </c>
      <c r="B54" s="1272"/>
      <c r="C54" s="1272"/>
      <c r="D54" s="1272"/>
      <c r="E54" s="1272"/>
      <c r="F54" s="1272"/>
      <c r="G54" s="1272"/>
      <c r="H54" s="1272"/>
      <c r="I54" s="1272"/>
      <c r="J54" s="1272"/>
      <c r="K54" s="1272"/>
      <c r="L54" s="1272"/>
      <c r="M54" s="1272"/>
      <c r="N54" s="1272"/>
      <c r="O54" s="1272"/>
      <c r="P54" s="1272"/>
      <c r="Q54" s="1272"/>
      <c r="R54" s="1272"/>
      <c r="S54" s="1272"/>
      <c r="T54" s="1272"/>
      <c r="U54" s="1272"/>
      <c r="V54" s="1272"/>
      <c r="W54" s="1272"/>
      <c r="X54" s="1272"/>
      <c r="Y54" s="1272"/>
      <c r="Z54" s="1272"/>
      <c r="AA54" s="1272"/>
      <c r="AB54" s="1272"/>
      <c r="AC54" s="1272"/>
      <c r="AD54" s="1272"/>
      <c r="AE54" s="1272"/>
      <c r="AF54" s="1272"/>
      <c r="AG54" s="1272"/>
      <c r="AH54" s="1272"/>
      <c r="AI54" s="1272"/>
      <c r="AJ54" s="1272"/>
      <c r="AK54" s="1272"/>
      <c r="AL54" s="1272"/>
      <c r="AM54" s="1272"/>
      <c r="AN54" s="1272"/>
      <c r="AO54" s="1272"/>
      <c r="AP54" s="1272"/>
      <c r="AQ54" s="1272"/>
      <c r="AR54" s="1272"/>
      <c r="AS54" s="1272"/>
      <c r="AT54" s="1272"/>
      <c r="AU54" s="20"/>
      <c r="AV54" s="20"/>
      <c r="AW54" s="20"/>
      <c r="AX54" s="20"/>
      <c r="AY54" s="20"/>
      <c r="AZ54" s="21"/>
    </row>
    <row r="55" spans="1:52" ht="12.95" customHeight="1">
      <c r="A55" s="1272"/>
      <c r="B55" s="1272"/>
      <c r="C55" s="1272"/>
      <c r="D55" s="1272"/>
      <c r="E55" s="1272"/>
      <c r="F55" s="1272"/>
      <c r="G55" s="1272"/>
      <c r="H55" s="1272"/>
      <c r="I55" s="1272"/>
      <c r="J55" s="1272"/>
      <c r="K55" s="1272"/>
      <c r="L55" s="1272"/>
      <c r="M55" s="1272"/>
      <c r="N55" s="1272"/>
      <c r="O55" s="1272"/>
      <c r="P55" s="1272"/>
      <c r="Q55" s="1272"/>
      <c r="R55" s="1272"/>
      <c r="S55" s="1272"/>
      <c r="T55" s="1272"/>
      <c r="U55" s="1272"/>
      <c r="V55" s="1272"/>
      <c r="W55" s="1272"/>
      <c r="X55" s="1272"/>
      <c r="Y55" s="1272"/>
      <c r="Z55" s="1272"/>
      <c r="AA55" s="1272"/>
      <c r="AB55" s="1272"/>
      <c r="AC55" s="1272"/>
      <c r="AD55" s="1272"/>
      <c r="AE55" s="1272"/>
      <c r="AF55" s="1272"/>
      <c r="AG55" s="1272"/>
      <c r="AH55" s="1272"/>
      <c r="AI55" s="1272"/>
      <c r="AJ55" s="1272"/>
      <c r="AK55" s="1272"/>
      <c r="AL55" s="1272"/>
      <c r="AM55" s="1272"/>
      <c r="AN55" s="1272"/>
      <c r="AO55" s="1272"/>
      <c r="AP55" s="1272"/>
      <c r="AQ55" s="1272"/>
      <c r="AR55" s="1272"/>
      <c r="AS55" s="1272"/>
      <c r="AT55" s="1272"/>
      <c r="AZ55" s="21"/>
    </row>
    <row r="56" spans="1:52" ht="12.95" customHeight="1">
      <c r="A56" s="1272"/>
      <c r="B56" s="1272"/>
      <c r="C56" s="1272"/>
      <c r="D56" s="1272"/>
      <c r="E56" s="1272"/>
      <c r="F56" s="1272"/>
      <c r="G56" s="1272"/>
      <c r="H56" s="1272"/>
      <c r="I56" s="1272"/>
      <c r="J56" s="1272"/>
      <c r="K56" s="1272"/>
      <c r="L56" s="1272"/>
      <c r="M56" s="1272"/>
      <c r="N56" s="1272"/>
      <c r="O56" s="1272"/>
      <c r="P56" s="1272"/>
      <c r="Q56" s="1272"/>
      <c r="R56" s="1272"/>
      <c r="S56" s="1272"/>
      <c r="T56" s="1272"/>
      <c r="U56" s="1272"/>
      <c r="V56" s="1272"/>
      <c r="W56" s="1272"/>
      <c r="X56" s="1272"/>
      <c r="Y56" s="1272"/>
      <c r="Z56" s="1272"/>
      <c r="AA56" s="1272"/>
      <c r="AB56" s="1272"/>
      <c r="AC56" s="1272"/>
      <c r="AD56" s="1272"/>
      <c r="AE56" s="1272"/>
      <c r="AF56" s="1272"/>
      <c r="AG56" s="1272"/>
      <c r="AH56" s="1272"/>
      <c r="AI56" s="1272"/>
      <c r="AJ56" s="1272"/>
      <c r="AK56" s="1272"/>
      <c r="AL56" s="1272"/>
      <c r="AM56" s="1272"/>
      <c r="AN56" s="1272"/>
      <c r="AO56" s="1272"/>
      <c r="AP56" s="1272"/>
      <c r="AQ56" s="1272"/>
      <c r="AR56" s="1272"/>
      <c r="AS56" s="1272"/>
      <c r="AT56" s="1272"/>
    </row>
    <row r="57" spans="1:52" ht="12.95" customHeight="1">
      <c r="A57" s="1272"/>
      <c r="B57" s="1272"/>
      <c r="C57" s="1272"/>
      <c r="D57" s="1272"/>
      <c r="E57" s="1272"/>
      <c r="F57" s="1272"/>
      <c r="G57" s="1272"/>
      <c r="H57" s="1272"/>
      <c r="I57" s="1272"/>
      <c r="J57" s="1272"/>
      <c r="K57" s="1272"/>
      <c r="L57" s="1272"/>
      <c r="M57" s="1272"/>
      <c r="N57" s="1272"/>
      <c r="O57" s="1272"/>
      <c r="P57" s="1272"/>
      <c r="Q57" s="1272"/>
      <c r="R57" s="1272"/>
      <c r="S57" s="1272"/>
      <c r="T57" s="1272"/>
      <c r="U57" s="1272"/>
      <c r="V57" s="1272"/>
      <c r="W57" s="1272"/>
      <c r="X57" s="1272"/>
      <c r="Y57" s="1272"/>
      <c r="Z57" s="1272"/>
      <c r="AA57" s="1272"/>
      <c r="AB57" s="1272"/>
      <c r="AC57" s="1272"/>
      <c r="AD57" s="1272"/>
      <c r="AE57" s="1272"/>
      <c r="AF57" s="1272"/>
      <c r="AG57" s="1272"/>
      <c r="AH57" s="1272"/>
      <c r="AI57" s="1272"/>
      <c r="AJ57" s="1272"/>
      <c r="AK57" s="1272"/>
      <c r="AL57" s="1272"/>
      <c r="AM57" s="1272"/>
      <c r="AN57" s="1272"/>
      <c r="AO57" s="1272"/>
      <c r="AP57" s="1272"/>
      <c r="AQ57" s="1272"/>
      <c r="AR57" s="1272"/>
      <c r="AS57" s="1272"/>
      <c r="AT57" s="1272"/>
    </row>
    <row r="58" spans="1:52" ht="12.95" customHeight="1">
      <c r="A58" s="1272"/>
      <c r="B58" s="1272"/>
      <c r="C58" s="1272"/>
      <c r="D58" s="1272"/>
      <c r="E58" s="1272"/>
      <c r="F58" s="1272"/>
      <c r="G58" s="1272"/>
      <c r="H58" s="1272"/>
      <c r="I58" s="1272"/>
      <c r="J58" s="1272"/>
      <c r="K58" s="1272"/>
      <c r="L58" s="1272"/>
      <c r="M58" s="1272"/>
      <c r="N58" s="1272"/>
      <c r="O58" s="1272"/>
      <c r="P58" s="1272"/>
      <c r="Q58" s="1272"/>
      <c r="R58" s="1272"/>
      <c r="S58" s="1272"/>
      <c r="T58" s="1272"/>
      <c r="U58" s="1272"/>
      <c r="V58" s="1272"/>
      <c r="W58" s="1272"/>
      <c r="X58" s="1272"/>
      <c r="Y58" s="1272"/>
      <c r="Z58" s="1272"/>
      <c r="AA58" s="1272"/>
      <c r="AB58" s="1272"/>
      <c r="AC58" s="1272"/>
      <c r="AD58" s="1272"/>
      <c r="AE58" s="1272"/>
      <c r="AF58" s="1272"/>
      <c r="AG58" s="1272"/>
      <c r="AH58" s="1272"/>
      <c r="AI58" s="1272"/>
      <c r="AJ58" s="1272"/>
      <c r="AK58" s="1272"/>
      <c r="AL58" s="1272"/>
      <c r="AM58" s="1272"/>
      <c r="AN58" s="1272"/>
      <c r="AO58" s="1272"/>
      <c r="AP58" s="1272"/>
      <c r="AQ58" s="1272"/>
      <c r="AR58" s="1272"/>
      <c r="AS58" s="1272"/>
      <c r="AT58" s="1272"/>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72" t="s">
        <v>2515</v>
      </c>
      <c r="B60" s="1272"/>
      <c r="C60" s="1272"/>
      <c r="D60" s="1272"/>
      <c r="E60" s="1272"/>
      <c r="F60" s="1272"/>
      <c r="G60" s="1272"/>
      <c r="H60" s="1272"/>
      <c r="I60" s="1272"/>
      <c r="J60" s="1272"/>
      <c r="K60" s="1272"/>
      <c r="L60" s="1272"/>
      <c r="M60" s="1272"/>
      <c r="N60" s="1272"/>
      <c r="O60" s="1272"/>
      <c r="P60" s="1272"/>
      <c r="Q60" s="1272"/>
      <c r="R60" s="1272"/>
      <c r="S60" s="1272"/>
      <c r="T60" s="1272"/>
      <c r="U60" s="1272"/>
      <c r="V60" s="1272"/>
      <c r="W60" s="1272"/>
      <c r="X60" s="1272"/>
      <c r="Y60" s="1272"/>
      <c r="Z60" s="1272"/>
      <c r="AA60" s="1272"/>
      <c r="AB60" s="1272"/>
      <c r="AC60" s="1272"/>
      <c r="AD60" s="1272"/>
      <c r="AE60" s="1272"/>
      <c r="AF60" s="1272"/>
      <c r="AG60" s="1272"/>
      <c r="AH60" s="1272"/>
      <c r="AI60" s="1272"/>
      <c r="AJ60" s="1272"/>
      <c r="AK60" s="1272"/>
      <c r="AL60" s="1272"/>
      <c r="AM60" s="1272"/>
      <c r="AN60" s="1272"/>
      <c r="AO60" s="1272"/>
      <c r="AP60" s="1272"/>
      <c r="AQ60" s="1272"/>
      <c r="AR60" s="1272"/>
      <c r="AS60" s="1272"/>
      <c r="AT60" s="1272"/>
      <c r="AU60" s="20"/>
      <c r="AV60" s="20"/>
      <c r="AW60" s="20"/>
      <c r="AX60" s="20"/>
      <c r="AY60" s="20"/>
      <c r="AZ60" s="20"/>
    </row>
    <row r="61" spans="1:52" ht="12.95" customHeight="1">
      <c r="A61" s="1272"/>
      <c r="B61" s="1272"/>
      <c r="C61" s="1272"/>
      <c r="D61" s="1272"/>
      <c r="E61" s="1272"/>
      <c r="F61" s="1272"/>
      <c r="G61" s="1272"/>
      <c r="H61" s="1272"/>
      <c r="I61" s="1272"/>
      <c r="J61" s="1272"/>
      <c r="K61" s="1272"/>
      <c r="L61" s="1272"/>
      <c r="M61" s="1272"/>
      <c r="N61" s="1272"/>
      <c r="O61" s="1272"/>
      <c r="P61" s="1272"/>
      <c r="Q61" s="1272"/>
      <c r="R61" s="1272"/>
      <c r="S61" s="1272"/>
      <c r="T61" s="1272"/>
      <c r="U61" s="1272"/>
      <c r="V61" s="1272"/>
      <c r="W61" s="1272"/>
      <c r="X61" s="1272"/>
      <c r="Y61" s="1272"/>
      <c r="Z61" s="1272"/>
      <c r="AA61" s="1272"/>
      <c r="AB61" s="1272"/>
      <c r="AC61" s="1272"/>
      <c r="AD61" s="1272"/>
      <c r="AE61" s="1272"/>
      <c r="AF61" s="1272"/>
      <c r="AG61" s="1272"/>
      <c r="AH61" s="1272"/>
      <c r="AI61" s="1272"/>
      <c r="AJ61" s="1272"/>
      <c r="AK61" s="1272"/>
      <c r="AL61" s="1272"/>
      <c r="AM61" s="1272"/>
      <c r="AN61" s="1272"/>
      <c r="AO61" s="1272"/>
      <c r="AP61" s="1272"/>
      <c r="AQ61" s="1272"/>
      <c r="AR61" s="1272"/>
      <c r="AS61" s="1272"/>
      <c r="AT61" s="1272"/>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57" t="s">
        <v>2517</v>
      </c>
      <c r="B65" s="1557"/>
      <c r="C65" s="1557"/>
      <c r="D65" s="1557"/>
      <c r="E65" s="1557"/>
      <c r="F65" s="1557"/>
      <c r="G65" s="1557"/>
      <c r="H65" s="1557"/>
      <c r="I65" s="1557"/>
      <c r="J65" s="1557"/>
      <c r="K65" s="1557"/>
      <c r="L65" s="1557"/>
      <c r="M65" s="1557"/>
      <c r="N65" s="1557"/>
      <c r="O65" s="1557"/>
      <c r="P65" s="1557"/>
      <c r="Q65" s="1557"/>
      <c r="R65" s="1557"/>
      <c r="S65" s="1557"/>
      <c r="T65" s="1557"/>
      <c r="U65" s="1557"/>
      <c r="V65" s="1557"/>
      <c r="W65" s="1557"/>
      <c r="X65" s="1557"/>
      <c r="Y65" s="1557"/>
      <c r="Z65" s="1557"/>
      <c r="AA65" s="1557"/>
      <c r="AB65" s="1557"/>
      <c r="AC65" s="1557"/>
      <c r="AD65" s="1557"/>
      <c r="AE65" s="1557"/>
      <c r="AF65" s="1557"/>
      <c r="AG65" s="1557"/>
      <c r="AH65" s="1557"/>
      <c r="AI65" s="1557"/>
      <c r="AJ65" s="1557"/>
      <c r="AK65" s="1557"/>
      <c r="AL65" s="1557"/>
      <c r="AM65" s="1557"/>
      <c r="AN65" s="1557"/>
      <c r="AO65" s="1557"/>
      <c r="AP65" s="1557"/>
      <c r="AQ65" s="1557"/>
      <c r="AR65" s="1557"/>
      <c r="AS65" s="1557"/>
      <c r="AT65" s="1557"/>
      <c r="AU65" s="21"/>
      <c r="AV65" s="21"/>
      <c r="AW65" s="21"/>
      <c r="AX65" s="21"/>
      <c r="AY65" s="21"/>
      <c r="AZ65" s="20"/>
    </row>
    <row r="66" spans="1:52" ht="12.95" customHeight="1">
      <c r="A66" s="1557"/>
      <c r="B66" s="1557"/>
      <c r="C66" s="1557"/>
      <c r="D66" s="1557"/>
      <c r="E66" s="1557"/>
      <c r="F66" s="1557"/>
      <c r="G66" s="1557"/>
      <c r="H66" s="1557"/>
      <c r="I66" s="1557"/>
      <c r="J66" s="1557"/>
      <c r="K66" s="1557"/>
      <c r="L66" s="1557"/>
      <c r="M66" s="1557"/>
      <c r="N66" s="1557"/>
      <c r="O66" s="1557"/>
      <c r="P66" s="1557"/>
      <c r="Q66" s="1557"/>
      <c r="R66" s="1557"/>
      <c r="S66" s="1557"/>
      <c r="T66" s="1557"/>
      <c r="U66" s="1557"/>
      <c r="V66" s="1557"/>
      <c r="W66" s="1557"/>
      <c r="X66" s="1557"/>
      <c r="Y66" s="1557"/>
      <c r="Z66" s="1557"/>
      <c r="AA66" s="1557"/>
      <c r="AB66" s="1557"/>
      <c r="AC66" s="1557"/>
      <c r="AD66" s="1557"/>
      <c r="AE66" s="1557"/>
      <c r="AF66" s="1557"/>
      <c r="AG66" s="1557"/>
      <c r="AH66" s="1557"/>
      <c r="AI66" s="1557"/>
      <c r="AJ66" s="1557"/>
      <c r="AK66" s="1557"/>
      <c r="AL66" s="1557"/>
      <c r="AM66" s="1557"/>
      <c r="AN66" s="1557"/>
      <c r="AO66" s="1557"/>
      <c r="AP66" s="1557"/>
      <c r="AQ66" s="1557"/>
      <c r="AR66" s="1557"/>
      <c r="AS66" s="1557"/>
      <c r="AT66" s="1557"/>
      <c r="AU66" s="21"/>
      <c r="AV66" s="21"/>
      <c r="AW66" s="21"/>
      <c r="AX66" s="21"/>
      <c r="AY66" s="21"/>
      <c r="AZ66" s="20"/>
    </row>
    <row r="67" spans="1:52" ht="12.95" customHeight="1">
      <c r="A67" s="1557"/>
      <c r="B67" s="1557"/>
      <c r="C67" s="1557"/>
      <c r="D67" s="1557"/>
      <c r="E67" s="1557"/>
      <c r="F67" s="1557"/>
      <c r="G67" s="1557"/>
      <c r="H67" s="1557"/>
      <c r="I67" s="1557"/>
      <c r="J67" s="1557"/>
      <c r="K67" s="1557"/>
      <c r="L67" s="1557"/>
      <c r="M67" s="1557"/>
      <c r="N67" s="1557"/>
      <c r="O67" s="1557"/>
      <c r="P67" s="1557"/>
      <c r="Q67" s="1557"/>
      <c r="R67" s="1557"/>
      <c r="S67" s="1557"/>
      <c r="T67" s="1557"/>
      <c r="U67" s="1557"/>
      <c r="V67" s="1557"/>
      <c r="W67" s="1557"/>
      <c r="X67" s="1557"/>
      <c r="Y67" s="1557"/>
      <c r="Z67" s="1557"/>
      <c r="AA67" s="1557"/>
      <c r="AB67" s="1557"/>
      <c r="AC67" s="1557"/>
      <c r="AD67" s="1557"/>
      <c r="AE67" s="1557"/>
      <c r="AF67" s="1557"/>
      <c r="AG67" s="1557"/>
      <c r="AH67" s="1557"/>
      <c r="AI67" s="1557"/>
      <c r="AJ67" s="1557"/>
      <c r="AK67" s="1557"/>
      <c r="AL67" s="1557"/>
      <c r="AM67" s="1557"/>
      <c r="AN67" s="1557"/>
      <c r="AO67" s="1557"/>
      <c r="AP67" s="1557"/>
      <c r="AQ67" s="1557"/>
      <c r="AR67" s="1557"/>
      <c r="AS67" s="1557"/>
      <c r="AT67" s="1557"/>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57" t="s">
        <v>2518</v>
      </c>
      <c r="B69" s="1557"/>
      <c r="C69" s="1557"/>
      <c r="D69" s="1557"/>
      <c r="E69" s="1557"/>
      <c r="F69" s="1557"/>
      <c r="G69" s="1557"/>
      <c r="H69" s="1557"/>
      <c r="I69" s="1557"/>
      <c r="J69" s="1557"/>
      <c r="K69" s="1557"/>
      <c r="L69" s="1557"/>
      <c r="M69" s="1557"/>
      <c r="N69" s="1557"/>
      <c r="O69" s="1557"/>
      <c r="P69" s="1557"/>
      <c r="Q69" s="1557"/>
      <c r="R69" s="1557"/>
      <c r="S69" s="1557"/>
      <c r="T69" s="1557"/>
      <c r="U69" s="1557"/>
      <c r="V69" s="1557"/>
      <c r="W69" s="1557"/>
      <c r="X69" s="1557"/>
      <c r="Y69" s="1557"/>
      <c r="Z69" s="1557"/>
      <c r="AA69" s="1557"/>
      <c r="AB69" s="1557"/>
      <c r="AC69" s="1557"/>
      <c r="AD69" s="1557"/>
      <c r="AE69" s="1557"/>
      <c r="AF69" s="1557"/>
      <c r="AG69" s="1557"/>
      <c r="AH69" s="1557"/>
      <c r="AI69" s="1557"/>
      <c r="AJ69" s="1557"/>
      <c r="AK69" s="1557"/>
      <c r="AL69" s="1557"/>
      <c r="AM69" s="1557"/>
      <c r="AN69" s="1557"/>
      <c r="AO69" s="1557"/>
      <c r="AP69" s="1557"/>
      <c r="AQ69" s="1557"/>
      <c r="AR69" s="1557"/>
      <c r="AS69" s="1557"/>
      <c r="AT69" s="1557"/>
      <c r="AZ69" s="20"/>
    </row>
    <row r="70" spans="1:52" ht="12.95" customHeight="1">
      <c r="A70" s="1557"/>
      <c r="B70" s="1557"/>
      <c r="C70" s="1557"/>
      <c r="D70" s="1557"/>
      <c r="E70" s="1557"/>
      <c r="F70" s="1557"/>
      <c r="G70" s="1557"/>
      <c r="H70" s="1557"/>
      <c r="I70" s="1557"/>
      <c r="J70" s="1557"/>
      <c r="K70" s="1557"/>
      <c r="L70" s="1557"/>
      <c r="M70" s="1557"/>
      <c r="N70" s="1557"/>
      <c r="O70" s="1557"/>
      <c r="P70" s="1557"/>
      <c r="Q70" s="1557"/>
      <c r="R70" s="1557"/>
      <c r="S70" s="1557"/>
      <c r="T70" s="1557"/>
      <c r="U70" s="1557"/>
      <c r="V70" s="1557"/>
      <c r="W70" s="1557"/>
      <c r="X70" s="1557"/>
      <c r="Y70" s="1557"/>
      <c r="Z70" s="1557"/>
      <c r="AA70" s="1557"/>
      <c r="AB70" s="1557"/>
      <c r="AC70" s="1557"/>
      <c r="AD70" s="1557"/>
      <c r="AE70" s="1557"/>
      <c r="AF70" s="1557"/>
      <c r="AG70" s="1557"/>
      <c r="AH70" s="1557"/>
      <c r="AI70" s="1557"/>
      <c r="AJ70" s="1557"/>
      <c r="AK70" s="1557"/>
      <c r="AL70" s="1557"/>
      <c r="AM70" s="1557"/>
      <c r="AN70" s="1557"/>
      <c r="AO70" s="1557"/>
      <c r="AP70" s="1557"/>
      <c r="AQ70" s="1557"/>
      <c r="AR70" s="1557"/>
      <c r="AS70" s="1557"/>
      <c r="AT70" s="1557"/>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57" t="s">
        <v>2519</v>
      </c>
      <c r="B72" s="1857"/>
      <c r="C72" s="1857"/>
      <c r="D72" s="1857"/>
      <c r="E72" s="1857"/>
      <c r="F72" s="1857"/>
      <c r="G72" s="1857"/>
      <c r="H72" s="1857"/>
      <c r="I72" s="1857"/>
      <c r="J72" s="1857"/>
      <c r="K72" s="1857"/>
      <c r="L72" s="1857"/>
      <c r="M72" s="1857"/>
      <c r="N72" s="1857"/>
      <c r="O72" s="1857"/>
      <c r="P72" s="1857"/>
      <c r="Q72" s="1857"/>
      <c r="R72" s="1857"/>
      <c r="S72" s="1857"/>
      <c r="T72" s="1857"/>
      <c r="U72" s="1857"/>
      <c r="V72" s="1857"/>
      <c r="W72" s="1857"/>
      <c r="X72" s="1857"/>
      <c r="Y72" s="1857"/>
      <c r="Z72" s="1857"/>
      <c r="AA72" s="1857"/>
      <c r="AB72" s="1857"/>
      <c r="AC72" s="1857"/>
      <c r="AD72" s="1857"/>
      <c r="AE72" s="1857"/>
      <c r="AF72" s="1857"/>
      <c r="AG72" s="1857"/>
      <c r="AH72" s="1857"/>
      <c r="AI72" s="1857"/>
      <c r="AJ72" s="1857"/>
      <c r="AK72" s="1857"/>
      <c r="AL72" s="1857"/>
      <c r="AM72" s="1857"/>
      <c r="AN72" s="1857"/>
      <c r="AO72" s="1857"/>
      <c r="AP72" s="1857"/>
      <c r="AQ72" s="1857"/>
      <c r="AR72" s="1857"/>
      <c r="AS72" s="1857"/>
      <c r="AT72" s="1857"/>
      <c r="AU72" s="20"/>
      <c r="AV72" s="20"/>
      <c r="AW72" s="20"/>
      <c r="AX72" s="20"/>
      <c r="AY72" s="20"/>
      <c r="AZ72" s="20"/>
    </row>
    <row r="73" spans="1:52" ht="12.95" customHeight="1">
      <c r="A73" s="1857"/>
      <c r="B73" s="1857"/>
      <c r="C73" s="1857"/>
      <c r="D73" s="1857"/>
      <c r="E73" s="1857"/>
      <c r="F73" s="1857"/>
      <c r="G73" s="1857"/>
      <c r="H73" s="1857"/>
      <c r="I73" s="1857"/>
      <c r="J73" s="1857"/>
      <c r="K73" s="1857"/>
      <c r="L73" s="1857"/>
      <c r="M73" s="1857"/>
      <c r="N73" s="1857"/>
      <c r="O73" s="1857"/>
      <c r="P73" s="1857"/>
      <c r="Q73" s="1857"/>
      <c r="R73" s="1857"/>
      <c r="S73" s="1857"/>
      <c r="T73" s="1857"/>
      <c r="U73" s="1857"/>
      <c r="V73" s="1857"/>
      <c r="W73" s="1857"/>
      <c r="X73" s="1857"/>
      <c r="Y73" s="1857"/>
      <c r="Z73" s="1857"/>
      <c r="AA73" s="1857"/>
      <c r="AB73" s="1857"/>
      <c r="AC73" s="1857"/>
      <c r="AD73" s="1857"/>
      <c r="AE73" s="1857"/>
      <c r="AF73" s="1857"/>
      <c r="AG73" s="1857"/>
      <c r="AH73" s="1857"/>
      <c r="AI73" s="1857"/>
      <c r="AJ73" s="1857"/>
      <c r="AK73" s="1857"/>
      <c r="AL73" s="1857"/>
      <c r="AM73" s="1857"/>
      <c r="AN73" s="1857"/>
      <c r="AO73" s="1857"/>
      <c r="AP73" s="1857"/>
      <c r="AQ73" s="1857"/>
      <c r="AR73" s="1857"/>
      <c r="AS73" s="1857"/>
      <c r="AT73" s="1857"/>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56" t="s">
        <v>2520</v>
      </c>
      <c r="B75" s="1556"/>
      <c r="C75" s="1556"/>
      <c r="D75" s="1556"/>
      <c r="E75" s="1556"/>
      <c r="F75" s="1556"/>
      <c r="G75" s="1556"/>
      <c r="H75" s="1556"/>
      <c r="I75" s="1556"/>
      <c r="J75" s="1556"/>
      <c r="K75" s="1556"/>
      <c r="L75" s="1556"/>
      <c r="M75" s="1556"/>
      <c r="N75" s="1556"/>
      <c r="O75" s="1556"/>
      <c r="P75" s="1556"/>
      <c r="Q75" s="1556"/>
      <c r="R75" s="1556"/>
      <c r="S75" s="1556"/>
      <c r="T75" s="1556"/>
      <c r="U75" s="1556"/>
      <c r="V75" s="1556"/>
      <c r="W75" s="1556"/>
      <c r="X75" s="1556"/>
      <c r="Y75" s="1556"/>
      <c r="Z75" s="1556"/>
      <c r="AA75" s="1556"/>
      <c r="AB75" s="1556"/>
      <c r="AC75" s="1556"/>
      <c r="AD75" s="1556"/>
      <c r="AE75" s="1556"/>
      <c r="AF75" s="1556"/>
      <c r="AG75" s="1556"/>
      <c r="AH75" s="1556"/>
      <c r="AI75" s="1556"/>
      <c r="AJ75" s="1556"/>
      <c r="AK75" s="1556"/>
      <c r="AL75" s="1556"/>
      <c r="AM75" s="1556"/>
      <c r="AN75" s="1556"/>
      <c r="AO75" s="1556"/>
      <c r="AP75" s="1556"/>
      <c r="AQ75" s="1556"/>
      <c r="AR75" s="1556"/>
      <c r="AS75" s="1556"/>
      <c r="AT75" s="1556"/>
      <c r="AU75" s="20"/>
      <c r="AV75" s="20"/>
      <c r="AW75" s="20"/>
      <c r="AX75" s="20"/>
      <c r="AY75" s="20"/>
      <c r="AZ75" s="20"/>
    </row>
    <row r="76" spans="1:52" ht="12.95" customHeight="1">
      <c r="A76" s="1556"/>
      <c r="B76" s="1556"/>
      <c r="C76" s="1556"/>
      <c r="D76" s="1556"/>
      <c r="E76" s="1556"/>
      <c r="F76" s="1556"/>
      <c r="G76" s="1556"/>
      <c r="H76" s="1556"/>
      <c r="I76" s="1556"/>
      <c r="J76" s="1556"/>
      <c r="K76" s="1556"/>
      <c r="L76" s="1556"/>
      <c r="M76" s="1556"/>
      <c r="N76" s="1556"/>
      <c r="O76" s="1556"/>
      <c r="P76" s="1556"/>
      <c r="Q76" s="1556"/>
      <c r="R76" s="1556"/>
      <c r="S76" s="1556"/>
      <c r="T76" s="1556"/>
      <c r="U76" s="1556"/>
      <c r="V76" s="1556"/>
      <c r="W76" s="1556"/>
      <c r="X76" s="1556"/>
      <c r="Y76" s="1556"/>
      <c r="Z76" s="1556"/>
      <c r="AA76" s="1556"/>
      <c r="AB76" s="1556"/>
      <c r="AC76" s="1556"/>
      <c r="AD76" s="1556"/>
      <c r="AE76" s="1556"/>
      <c r="AF76" s="1556"/>
      <c r="AG76" s="1556"/>
      <c r="AH76" s="1556"/>
      <c r="AI76" s="1556"/>
      <c r="AJ76" s="1556"/>
      <c r="AK76" s="1556"/>
      <c r="AL76" s="1556"/>
      <c r="AM76" s="1556"/>
      <c r="AN76" s="1556"/>
      <c r="AO76" s="1556"/>
      <c r="AP76" s="1556"/>
      <c r="AQ76" s="1556"/>
      <c r="AR76" s="1556"/>
      <c r="AS76" s="1556"/>
      <c r="AT76" s="1556"/>
      <c r="AU76" s="20"/>
      <c r="AV76" s="20"/>
      <c r="AW76" s="20"/>
      <c r="AX76" s="20"/>
      <c r="AY76" s="20"/>
      <c r="AZ76" s="17"/>
    </row>
    <row r="77" spans="1:52" ht="12.95" customHeight="1">
      <c r="A77" s="1556"/>
      <c r="B77" s="1556"/>
      <c r="C77" s="1556"/>
      <c r="D77" s="1556"/>
      <c r="E77" s="1556"/>
      <c r="F77" s="1556"/>
      <c r="G77" s="1556"/>
      <c r="H77" s="1556"/>
      <c r="I77" s="1556"/>
      <c r="J77" s="1556"/>
      <c r="K77" s="1556"/>
      <c r="L77" s="1556"/>
      <c r="M77" s="1556"/>
      <c r="N77" s="1556"/>
      <c r="O77" s="1556"/>
      <c r="P77" s="1556"/>
      <c r="Q77" s="1556"/>
      <c r="R77" s="1556"/>
      <c r="S77" s="1556"/>
      <c r="T77" s="1556"/>
      <c r="U77" s="1556"/>
      <c r="V77" s="1556"/>
      <c r="W77" s="1556"/>
      <c r="X77" s="1556"/>
      <c r="Y77" s="1556"/>
      <c r="Z77" s="1556"/>
      <c r="AA77" s="1556"/>
      <c r="AB77" s="1556"/>
      <c r="AC77" s="1556"/>
      <c r="AD77" s="1556"/>
      <c r="AE77" s="1556"/>
      <c r="AF77" s="1556"/>
      <c r="AG77" s="1556"/>
      <c r="AH77" s="1556"/>
      <c r="AI77" s="1556"/>
      <c r="AJ77" s="1556"/>
      <c r="AK77" s="1556"/>
      <c r="AL77" s="1556"/>
      <c r="AM77" s="1556"/>
      <c r="AN77" s="1556"/>
      <c r="AO77" s="1556"/>
      <c r="AP77" s="1556"/>
      <c r="AQ77" s="1556"/>
      <c r="AR77" s="1556"/>
      <c r="AS77" s="1556"/>
      <c r="AT77" s="1556"/>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57" t="s">
        <v>2521</v>
      </c>
      <c r="B79" s="1557"/>
      <c r="C79" s="1557"/>
      <c r="D79" s="1557"/>
      <c r="E79" s="1557"/>
      <c r="F79" s="1557"/>
      <c r="G79" s="1557"/>
      <c r="H79" s="1557"/>
      <c r="I79" s="1557"/>
      <c r="J79" s="1557"/>
      <c r="K79" s="1557"/>
      <c r="L79" s="1557"/>
      <c r="M79" s="1557"/>
      <c r="N79" s="1557"/>
      <c r="O79" s="1557"/>
      <c r="P79" s="1557"/>
      <c r="Q79" s="1557"/>
      <c r="R79" s="1557"/>
      <c r="S79" s="1557"/>
      <c r="T79" s="1557"/>
      <c r="U79" s="1557"/>
      <c r="V79" s="1557"/>
      <c r="W79" s="1557"/>
      <c r="X79" s="1557"/>
      <c r="Y79" s="1557"/>
      <c r="Z79" s="1557"/>
      <c r="AA79" s="1557"/>
      <c r="AB79" s="1557"/>
      <c r="AC79" s="1557"/>
      <c r="AD79" s="1557"/>
      <c r="AE79" s="1557"/>
      <c r="AF79" s="1557"/>
      <c r="AG79" s="1557"/>
      <c r="AH79" s="1557"/>
      <c r="AI79" s="1557"/>
      <c r="AJ79" s="1557"/>
      <c r="AK79" s="1557"/>
      <c r="AL79" s="1557"/>
      <c r="AM79" s="1557"/>
      <c r="AN79" s="1557"/>
      <c r="AO79" s="1557"/>
      <c r="AP79" s="1557"/>
      <c r="AQ79" s="1557"/>
      <c r="AR79" s="1557"/>
      <c r="AS79" s="1557"/>
      <c r="AT79" s="1557"/>
      <c r="AU79" s="20"/>
      <c r="AV79" s="20"/>
      <c r="AW79" s="20"/>
      <c r="AX79" s="20"/>
      <c r="AY79" s="20"/>
      <c r="AZ79" s="20"/>
    </row>
    <row r="80" spans="1:52" ht="12.95" customHeight="1">
      <c r="A80" s="1557"/>
      <c r="B80" s="1557"/>
      <c r="C80" s="1557"/>
      <c r="D80" s="1557"/>
      <c r="E80" s="1557"/>
      <c r="F80" s="1557"/>
      <c r="G80" s="1557"/>
      <c r="H80" s="1557"/>
      <c r="I80" s="1557"/>
      <c r="J80" s="1557"/>
      <c r="K80" s="1557"/>
      <c r="L80" s="1557"/>
      <c r="M80" s="1557"/>
      <c r="N80" s="1557"/>
      <c r="O80" s="1557"/>
      <c r="P80" s="1557"/>
      <c r="Q80" s="1557"/>
      <c r="R80" s="1557"/>
      <c r="S80" s="1557"/>
      <c r="T80" s="1557"/>
      <c r="U80" s="1557"/>
      <c r="V80" s="1557"/>
      <c r="W80" s="1557"/>
      <c r="X80" s="1557"/>
      <c r="Y80" s="1557"/>
      <c r="Z80" s="1557"/>
      <c r="AA80" s="1557"/>
      <c r="AB80" s="1557"/>
      <c r="AC80" s="1557"/>
      <c r="AD80" s="1557"/>
      <c r="AE80" s="1557"/>
      <c r="AF80" s="1557"/>
      <c r="AG80" s="1557"/>
      <c r="AH80" s="1557"/>
      <c r="AI80" s="1557"/>
      <c r="AJ80" s="1557"/>
      <c r="AK80" s="1557"/>
      <c r="AL80" s="1557"/>
      <c r="AM80" s="1557"/>
      <c r="AN80" s="1557"/>
      <c r="AO80" s="1557"/>
      <c r="AP80" s="1557"/>
      <c r="AQ80" s="1557"/>
      <c r="AR80" s="1557"/>
      <c r="AS80" s="1557"/>
      <c r="AT80" s="1557"/>
      <c r="AU80" s="20"/>
      <c r="AV80" s="20"/>
      <c r="AW80" s="20"/>
      <c r="AX80" s="20"/>
      <c r="AY80" s="20"/>
      <c r="AZ80" s="20"/>
    </row>
    <row r="81" spans="1:52" ht="12.95" customHeight="1">
      <c r="A81" s="1557"/>
      <c r="B81" s="1557"/>
      <c r="C81" s="1557"/>
      <c r="D81" s="1557"/>
      <c r="E81" s="1557"/>
      <c r="F81" s="1557"/>
      <c r="G81" s="1557"/>
      <c r="H81" s="1557"/>
      <c r="I81" s="1557"/>
      <c r="J81" s="1557"/>
      <c r="K81" s="1557"/>
      <c r="L81" s="1557"/>
      <c r="M81" s="1557"/>
      <c r="N81" s="1557"/>
      <c r="O81" s="1557"/>
      <c r="P81" s="1557"/>
      <c r="Q81" s="1557"/>
      <c r="R81" s="1557"/>
      <c r="S81" s="1557"/>
      <c r="T81" s="1557"/>
      <c r="U81" s="1557"/>
      <c r="V81" s="1557"/>
      <c r="W81" s="1557"/>
      <c r="X81" s="1557"/>
      <c r="Y81" s="1557"/>
      <c r="Z81" s="1557"/>
      <c r="AA81" s="1557"/>
      <c r="AB81" s="1557"/>
      <c r="AC81" s="1557"/>
      <c r="AD81" s="1557"/>
      <c r="AE81" s="1557"/>
      <c r="AF81" s="1557"/>
      <c r="AG81" s="1557"/>
      <c r="AH81" s="1557"/>
      <c r="AI81" s="1557"/>
      <c r="AJ81" s="1557"/>
      <c r="AK81" s="1557"/>
      <c r="AL81" s="1557"/>
      <c r="AM81" s="1557"/>
      <c r="AN81" s="1557"/>
      <c r="AO81" s="1557"/>
      <c r="AP81" s="1557"/>
      <c r="AQ81" s="1557"/>
      <c r="AR81" s="1557"/>
      <c r="AS81" s="1557"/>
      <c r="AT81" s="1557"/>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72" t="s">
        <v>2522</v>
      </c>
      <c r="B83" s="1272"/>
      <c r="C83" s="1272"/>
      <c r="D83" s="1272"/>
      <c r="E83" s="1272"/>
      <c r="F83" s="1272"/>
      <c r="G83" s="1272"/>
      <c r="H83" s="1272"/>
      <c r="I83" s="1272"/>
      <c r="J83" s="1272"/>
      <c r="K83" s="1272"/>
      <c r="L83" s="1272"/>
      <c r="M83" s="1272"/>
      <c r="N83" s="1272"/>
      <c r="O83" s="1272"/>
      <c r="P83" s="1272"/>
      <c r="Q83" s="1272"/>
      <c r="R83" s="1272"/>
      <c r="S83" s="1272"/>
      <c r="T83" s="1272"/>
      <c r="U83" s="1272"/>
      <c r="V83" s="1272"/>
      <c r="W83" s="1272"/>
      <c r="X83" s="1272"/>
      <c r="Y83" s="1272"/>
      <c r="Z83" s="1272"/>
      <c r="AA83" s="1272"/>
      <c r="AB83" s="1272"/>
      <c r="AC83" s="1272"/>
      <c r="AD83" s="1272"/>
      <c r="AE83" s="1272"/>
      <c r="AF83" s="1272"/>
      <c r="AG83" s="1272"/>
      <c r="AH83" s="1272"/>
      <c r="AI83" s="1272"/>
      <c r="AJ83" s="1272"/>
      <c r="AK83" s="1272"/>
      <c r="AL83" s="1272"/>
      <c r="AM83" s="1272"/>
      <c r="AN83" s="1272"/>
      <c r="AO83" s="1272"/>
      <c r="AP83" s="1272"/>
      <c r="AQ83" s="1272"/>
      <c r="AR83" s="1272"/>
      <c r="AS83" s="1272"/>
      <c r="AT83" s="1272"/>
      <c r="AU83" s="20"/>
      <c r="AV83" s="20"/>
      <c r="AW83" s="20"/>
      <c r="AX83" s="20"/>
      <c r="AY83" s="20"/>
      <c r="AZ83" s="20"/>
    </row>
    <row r="84" spans="1:52" ht="12.95" customHeight="1">
      <c r="A84" s="1272"/>
      <c r="B84" s="1272"/>
      <c r="C84" s="1272"/>
      <c r="D84" s="1272"/>
      <c r="E84" s="1272"/>
      <c r="F84" s="1272"/>
      <c r="G84" s="1272"/>
      <c r="H84" s="1272"/>
      <c r="I84" s="1272"/>
      <c r="J84" s="1272"/>
      <c r="K84" s="1272"/>
      <c r="L84" s="1272"/>
      <c r="M84" s="1272"/>
      <c r="N84" s="1272"/>
      <c r="O84" s="1272"/>
      <c r="P84" s="1272"/>
      <c r="Q84" s="1272"/>
      <c r="R84" s="1272"/>
      <c r="S84" s="1272"/>
      <c r="T84" s="1272"/>
      <c r="U84" s="1272"/>
      <c r="V84" s="1272"/>
      <c r="W84" s="1272"/>
      <c r="X84" s="1272"/>
      <c r="Y84" s="1272"/>
      <c r="Z84" s="1272"/>
      <c r="AA84" s="1272"/>
      <c r="AB84" s="1272"/>
      <c r="AC84" s="1272"/>
      <c r="AD84" s="1272"/>
      <c r="AE84" s="1272"/>
      <c r="AF84" s="1272"/>
      <c r="AG84" s="1272"/>
      <c r="AH84" s="1272"/>
      <c r="AI84" s="1272"/>
      <c r="AJ84" s="1272"/>
      <c r="AK84" s="1272"/>
      <c r="AL84" s="1272"/>
      <c r="AM84" s="1272"/>
      <c r="AN84" s="1272"/>
      <c r="AO84" s="1272"/>
      <c r="AP84" s="1272"/>
      <c r="AQ84" s="1272"/>
      <c r="AR84" s="1272"/>
      <c r="AS84" s="1272"/>
      <c r="AT84" s="1272"/>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72" t="s">
        <v>2523</v>
      </c>
      <c r="B86" s="1272"/>
      <c r="C86" s="1272"/>
      <c r="D86" s="1272"/>
      <c r="E86" s="1272"/>
      <c r="F86" s="1272"/>
      <c r="G86" s="1272"/>
      <c r="H86" s="1272"/>
      <c r="I86" s="1272"/>
      <c r="J86" s="1272"/>
      <c r="K86" s="1272"/>
      <c r="L86" s="1272"/>
      <c r="M86" s="1272"/>
      <c r="N86" s="1272"/>
      <c r="O86" s="1272"/>
      <c r="P86" s="1272"/>
      <c r="Q86" s="1272"/>
      <c r="R86" s="1272"/>
      <c r="S86" s="1272"/>
      <c r="T86" s="1272"/>
      <c r="U86" s="1272"/>
      <c r="V86" s="1272"/>
      <c r="W86" s="1272"/>
      <c r="X86" s="1272"/>
      <c r="Y86" s="1272"/>
      <c r="Z86" s="1272"/>
      <c r="AA86" s="1272"/>
      <c r="AB86" s="1272"/>
      <c r="AC86" s="1272"/>
      <c r="AD86" s="1272"/>
      <c r="AE86" s="1272"/>
      <c r="AF86" s="1272"/>
      <c r="AG86" s="1272"/>
      <c r="AH86" s="1272"/>
      <c r="AI86" s="1272"/>
      <c r="AJ86" s="1272"/>
      <c r="AK86" s="1272"/>
      <c r="AL86" s="1272"/>
      <c r="AM86" s="1272"/>
      <c r="AN86" s="1272"/>
      <c r="AO86" s="1272"/>
      <c r="AP86" s="1272"/>
      <c r="AQ86" s="1272"/>
      <c r="AR86" s="1272"/>
      <c r="AS86" s="1272"/>
      <c r="AT86" s="1272"/>
      <c r="AU86" s="20"/>
      <c r="AV86" s="20"/>
      <c r="AW86" s="20"/>
      <c r="AX86" s="20"/>
      <c r="AY86" s="20"/>
      <c r="AZ86" s="20"/>
    </row>
    <row r="87" spans="1:52" ht="12.95" customHeight="1">
      <c r="A87" s="1272"/>
      <c r="B87" s="1272"/>
      <c r="C87" s="1272"/>
      <c r="D87" s="1272"/>
      <c r="E87" s="1272"/>
      <c r="F87" s="1272"/>
      <c r="G87" s="1272"/>
      <c r="H87" s="1272"/>
      <c r="I87" s="1272"/>
      <c r="J87" s="1272"/>
      <c r="K87" s="1272"/>
      <c r="L87" s="1272"/>
      <c r="M87" s="1272"/>
      <c r="N87" s="1272"/>
      <c r="O87" s="1272"/>
      <c r="P87" s="1272"/>
      <c r="Q87" s="1272"/>
      <c r="R87" s="1272"/>
      <c r="S87" s="1272"/>
      <c r="T87" s="1272"/>
      <c r="U87" s="1272"/>
      <c r="V87" s="1272"/>
      <c r="W87" s="1272"/>
      <c r="X87" s="1272"/>
      <c r="Y87" s="1272"/>
      <c r="Z87" s="1272"/>
      <c r="AA87" s="1272"/>
      <c r="AB87" s="1272"/>
      <c r="AC87" s="1272"/>
      <c r="AD87" s="1272"/>
      <c r="AE87" s="1272"/>
      <c r="AF87" s="1272"/>
      <c r="AG87" s="1272"/>
      <c r="AH87" s="1272"/>
      <c r="AI87" s="1272"/>
      <c r="AJ87" s="1272"/>
      <c r="AK87" s="1272"/>
      <c r="AL87" s="1272"/>
      <c r="AM87" s="1272"/>
      <c r="AN87" s="1272"/>
      <c r="AO87" s="1272"/>
      <c r="AP87" s="1272"/>
      <c r="AQ87" s="1272"/>
      <c r="AR87" s="1272"/>
      <c r="AS87" s="1272"/>
      <c r="AT87" s="1272"/>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70" t="s">
        <v>2524</v>
      </c>
      <c r="B89" s="1570"/>
      <c r="C89" s="1570"/>
      <c r="D89" s="1570"/>
      <c r="E89" s="1570"/>
      <c r="F89" s="1570"/>
      <c r="G89" s="1570"/>
      <c r="H89" s="1570"/>
      <c r="I89" s="1570"/>
      <c r="J89" s="1570"/>
      <c r="K89" s="1570"/>
      <c r="L89" s="1570"/>
      <c r="M89" s="1570"/>
      <c r="N89" s="1570"/>
      <c r="O89" s="1570"/>
      <c r="P89" s="1570"/>
      <c r="Q89" s="1570"/>
      <c r="R89" s="1570"/>
      <c r="S89" s="1570"/>
      <c r="T89" s="1570"/>
      <c r="U89" s="1570"/>
      <c r="V89" s="1570"/>
      <c r="W89" s="1570"/>
      <c r="X89" s="1570"/>
      <c r="Y89" s="1570"/>
      <c r="Z89" s="1570"/>
      <c r="AA89" s="1570"/>
      <c r="AB89" s="1570"/>
      <c r="AC89" s="1570"/>
      <c r="AD89" s="1570"/>
      <c r="AE89" s="1570"/>
      <c r="AF89" s="1570"/>
      <c r="AG89" s="1570"/>
      <c r="AH89" s="1570"/>
      <c r="AI89" s="1570"/>
      <c r="AJ89" s="1570"/>
      <c r="AK89" s="1570"/>
      <c r="AL89" s="1570"/>
      <c r="AM89" s="1570"/>
      <c r="AN89" s="1570"/>
      <c r="AO89" s="1570"/>
      <c r="AP89" s="1570"/>
      <c r="AQ89" s="1570"/>
      <c r="AR89" s="1570"/>
      <c r="AS89" s="1570"/>
      <c r="AT89" s="1570"/>
      <c r="AU89" s="17"/>
      <c r="AV89" s="17"/>
      <c r="AW89" s="17"/>
      <c r="AX89" s="17"/>
      <c r="AY89" s="17"/>
      <c r="AZ89" s="20"/>
    </row>
    <row r="90" spans="1:52" ht="12.95" customHeight="1">
      <c r="A90" s="1570"/>
      <c r="B90" s="1570"/>
      <c r="C90" s="1570"/>
      <c r="D90" s="1570"/>
      <c r="E90" s="1570"/>
      <c r="F90" s="1570"/>
      <c r="G90" s="1570"/>
      <c r="H90" s="1570"/>
      <c r="I90" s="1570"/>
      <c r="J90" s="1570"/>
      <c r="K90" s="1570"/>
      <c r="L90" s="1570"/>
      <c r="M90" s="1570"/>
      <c r="N90" s="1570"/>
      <c r="O90" s="1570"/>
      <c r="P90" s="1570"/>
      <c r="Q90" s="1570"/>
      <c r="R90" s="1570"/>
      <c r="S90" s="1570"/>
      <c r="T90" s="1570"/>
      <c r="U90" s="1570"/>
      <c r="V90" s="1570"/>
      <c r="W90" s="1570"/>
      <c r="X90" s="1570"/>
      <c r="Y90" s="1570"/>
      <c r="Z90" s="1570"/>
      <c r="AA90" s="1570"/>
      <c r="AB90" s="1570"/>
      <c r="AC90" s="1570"/>
      <c r="AD90" s="1570"/>
      <c r="AE90" s="1570"/>
      <c r="AF90" s="1570"/>
      <c r="AG90" s="1570"/>
      <c r="AH90" s="1570"/>
      <c r="AI90" s="1570"/>
      <c r="AJ90" s="1570"/>
      <c r="AK90" s="1570"/>
      <c r="AL90" s="1570"/>
      <c r="AM90" s="1570"/>
      <c r="AN90" s="1570"/>
      <c r="AO90" s="1570"/>
      <c r="AP90" s="1570"/>
      <c r="AQ90" s="1570"/>
      <c r="AR90" s="1570"/>
      <c r="AS90" s="1570"/>
      <c r="AT90" s="1570"/>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56" t="s">
        <v>2525</v>
      </c>
      <c r="B92" s="1556"/>
      <c r="C92" s="1556"/>
      <c r="D92" s="1556"/>
      <c r="E92" s="1556"/>
      <c r="F92" s="1556"/>
      <c r="G92" s="1556"/>
      <c r="H92" s="1556"/>
      <c r="I92" s="1556"/>
      <c r="J92" s="1556"/>
      <c r="K92" s="1556"/>
      <c r="L92" s="1556"/>
      <c r="M92" s="1556"/>
      <c r="N92" s="1556"/>
      <c r="O92" s="1556"/>
      <c r="P92" s="1556"/>
      <c r="Q92" s="1556"/>
      <c r="R92" s="1556"/>
      <c r="S92" s="1556"/>
      <c r="T92" s="1556"/>
      <c r="U92" s="1556"/>
      <c r="V92" s="1556"/>
      <c r="W92" s="1556"/>
      <c r="X92" s="1556"/>
      <c r="Y92" s="1556"/>
      <c r="Z92" s="1556"/>
      <c r="AA92" s="1556"/>
      <c r="AB92" s="1556"/>
      <c r="AC92" s="1556"/>
      <c r="AD92" s="1556"/>
      <c r="AE92" s="1556"/>
      <c r="AF92" s="1556"/>
      <c r="AG92" s="1556"/>
      <c r="AH92" s="1556"/>
      <c r="AI92" s="1556"/>
      <c r="AJ92" s="1556"/>
      <c r="AK92" s="1556"/>
      <c r="AL92" s="1556"/>
      <c r="AM92" s="1556"/>
      <c r="AN92" s="1556"/>
      <c r="AO92" s="1556"/>
      <c r="AP92" s="1556"/>
      <c r="AQ92" s="1556"/>
      <c r="AR92" s="1556"/>
      <c r="AS92" s="1556"/>
      <c r="AT92" s="1556"/>
      <c r="AU92" s="20"/>
      <c r="AV92" s="20"/>
      <c r="AW92" s="20"/>
      <c r="AX92" s="20"/>
      <c r="AY92" s="20"/>
      <c r="AZ92" s="20"/>
    </row>
    <row r="93" spans="1:52" ht="12.95" customHeight="1">
      <c r="A93" s="1556"/>
      <c r="B93" s="1556"/>
      <c r="C93" s="1556"/>
      <c r="D93" s="1556"/>
      <c r="E93" s="1556"/>
      <c r="F93" s="1556"/>
      <c r="G93" s="1556"/>
      <c r="H93" s="1556"/>
      <c r="I93" s="1556"/>
      <c r="J93" s="1556"/>
      <c r="K93" s="1556"/>
      <c r="L93" s="1556"/>
      <c r="M93" s="1556"/>
      <c r="N93" s="1556"/>
      <c r="O93" s="1556"/>
      <c r="P93" s="1556"/>
      <c r="Q93" s="1556"/>
      <c r="R93" s="1556"/>
      <c r="S93" s="1556"/>
      <c r="T93" s="1556"/>
      <c r="U93" s="1556"/>
      <c r="V93" s="1556"/>
      <c r="W93" s="1556"/>
      <c r="X93" s="1556"/>
      <c r="Y93" s="1556"/>
      <c r="Z93" s="1556"/>
      <c r="AA93" s="1556"/>
      <c r="AB93" s="1556"/>
      <c r="AC93" s="1556"/>
      <c r="AD93" s="1556"/>
      <c r="AE93" s="1556"/>
      <c r="AF93" s="1556"/>
      <c r="AG93" s="1556"/>
      <c r="AH93" s="1556"/>
      <c r="AI93" s="1556"/>
      <c r="AJ93" s="1556"/>
      <c r="AK93" s="1556"/>
      <c r="AL93" s="1556"/>
      <c r="AM93" s="1556"/>
      <c r="AN93" s="1556"/>
      <c r="AO93" s="1556"/>
      <c r="AP93" s="1556"/>
      <c r="AQ93" s="1556"/>
      <c r="AR93" s="1556"/>
      <c r="AS93" s="1556"/>
      <c r="AT93" s="1556"/>
      <c r="AU93" s="20"/>
      <c r="AV93" s="20"/>
      <c r="AW93" s="20"/>
      <c r="AX93" s="20"/>
      <c r="AY93" s="20"/>
      <c r="AZ93" s="20"/>
    </row>
    <row r="94" spans="1:52" ht="12.95" customHeight="1">
      <c r="A94" s="1556"/>
      <c r="B94" s="1556"/>
      <c r="C94" s="1556"/>
      <c r="D94" s="1556"/>
      <c r="E94" s="1556"/>
      <c r="F94" s="1556"/>
      <c r="G94" s="1556"/>
      <c r="H94" s="1556"/>
      <c r="I94" s="1556"/>
      <c r="J94" s="1556"/>
      <c r="K94" s="1556"/>
      <c r="L94" s="1556"/>
      <c r="M94" s="1556"/>
      <c r="N94" s="1556"/>
      <c r="O94" s="1556"/>
      <c r="P94" s="1556"/>
      <c r="Q94" s="1556"/>
      <c r="R94" s="1556"/>
      <c r="S94" s="1556"/>
      <c r="T94" s="1556"/>
      <c r="U94" s="1556"/>
      <c r="V94" s="1556"/>
      <c r="W94" s="1556"/>
      <c r="X94" s="1556"/>
      <c r="Y94" s="1556"/>
      <c r="Z94" s="1556"/>
      <c r="AA94" s="1556"/>
      <c r="AB94" s="1556"/>
      <c r="AC94" s="1556"/>
      <c r="AD94" s="1556"/>
      <c r="AE94" s="1556"/>
      <c r="AF94" s="1556"/>
      <c r="AG94" s="1556"/>
      <c r="AH94" s="1556"/>
      <c r="AI94" s="1556"/>
      <c r="AJ94" s="1556"/>
      <c r="AK94" s="1556"/>
      <c r="AL94" s="1556"/>
      <c r="AM94" s="1556"/>
      <c r="AN94" s="1556"/>
      <c r="AO94" s="1556"/>
      <c r="AP94" s="1556"/>
      <c r="AQ94" s="1556"/>
      <c r="AR94" s="1556"/>
      <c r="AS94" s="1556"/>
      <c r="AT94" s="1556"/>
      <c r="AU94" s="20"/>
      <c r="AV94" s="20"/>
      <c r="AW94" s="20"/>
      <c r="AX94" s="20"/>
      <c r="AY94" s="20"/>
      <c r="AZ94" s="20"/>
    </row>
    <row r="95" spans="1:52" ht="12.95" customHeight="1">
      <c r="A95" s="1556"/>
      <c r="B95" s="1556"/>
      <c r="C95" s="1556"/>
      <c r="D95" s="1556"/>
      <c r="E95" s="1556"/>
      <c r="F95" s="1556"/>
      <c r="G95" s="1556"/>
      <c r="H95" s="1556"/>
      <c r="I95" s="1556"/>
      <c r="J95" s="1556"/>
      <c r="K95" s="1556"/>
      <c r="L95" s="1556"/>
      <c r="M95" s="1556"/>
      <c r="N95" s="1556"/>
      <c r="O95" s="1556"/>
      <c r="P95" s="1556"/>
      <c r="Q95" s="1556"/>
      <c r="R95" s="1556"/>
      <c r="S95" s="1556"/>
      <c r="T95" s="1556"/>
      <c r="U95" s="1556"/>
      <c r="V95" s="1556"/>
      <c r="W95" s="1556"/>
      <c r="X95" s="1556"/>
      <c r="Y95" s="1556"/>
      <c r="Z95" s="1556"/>
      <c r="AA95" s="1556"/>
      <c r="AB95" s="1556"/>
      <c r="AC95" s="1556"/>
      <c r="AD95" s="1556"/>
      <c r="AE95" s="1556"/>
      <c r="AF95" s="1556"/>
      <c r="AG95" s="1556"/>
      <c r="AH95" s="1556"/>
      <c r="AI95" s="1556"/>
      <c r="AJ95" s="1556"/>
      <c r="AK95" s="1556"/>
      <c r="AL95" s="1556"/>
      <c r="AM95" s="1556"/>
      <c r="AN95" s="1556"/>
      <c r="AO95" s="1556"/>
      <c r="AP95" s="1556"/>
      <c r="AQ95" s="1556"/>
      <c r="AR95" s="1556"/>
      <c r="AS95" s="1556"/>
      <c r="AT95" s="1556"/>
      <c r="AU95" s="20"/>
      <c r="AV95" s="20"/>
      <c r="AW95" s="20"/>
      <c r="AX95" s="20"/>
      <c r="AY95" s="20"/>
      <c r="AZ95" s="20"/>
    </row>
    <row r="96" spans="1:52" ht="12.95" customHeight="1">
      <c r="A96" s="1556"/>
      <c r="B96" s="1556"/>
      <c r="C96" s="1556"/>
      <c r="D96" s="1556"/>
      <c r="E96" s="1556"/>
      <c r="F96" s="1556"/>
      <c r="G96" s="1556"/>
      <c r="H96" s="1556"/>
      <c r="I96" s="1556"/>
      <c r="J96" s="1556"/>
      <c r="K96" s="1556"/>
      <c r="L96" s="1556"/>
      <c r="M96" s="1556"/>
      <c r="N96" s="1556"/>
      <c r="O96" s="1556"/>
      <c r="P96" s="1556"/>
      <c r="Q96" s="1556"/>
      <c r="R96" s="1556"/>
      <c r="S96" s="1556"/>
      <c r="T96" s="1556"/>
      <c r="U96" s="1556"/>
      <c r="V96" s="1556"/>
      <c r="W96" s="1556"/>
      <c r="X96" s="1556"/>
      <c r="Y96" s="1556"/>
      <c r="Z96" s="1556"/>
      <c r="AA96" s="1556"/>
      <c r="AB96" s="1556"/>
      <c r="AC96" s="1556"/>
      <c r="AD96" s="1556"/>
      <c r="AE96" s="1556"/>
      <c r="AF96" s="1556"/>
      <c r="AG96" s="1556"/>
      <c r="AH96" s="1556"/>
      <c r="AI96" s="1556"/>
      <c r="AJ96" s="1556"/>
      <c r="AK96" s="1556"/>
      <c r="AL96" s="1556"/>
      <c r="AM96" s="1556"/>
      <c r="AN96" s="1556"/>
      <c r="AO96" s="1556"/>
      <c r="AP96" s="1556"/>
      <c r="AQ96" s="1556"/>
      <c r="AR96" s="1556"/>
      <c r="AS96" s="1556"/>
      <c r="AT96" s="1556"/>
      <c r="AU96" s="20"/>
      <c r="AV96" s="20"/>
      <c r="AW96" s="20"/>
      <c r="AX96" s="20"/>
      <c r="AY96" s="20"/>
      <c r="AZ96" s="20"/>
    </row>
    <row r="97" spans="1:52" ht="12.95" customHeight="1">
      <c r="A97" s="1556"/>
      <c r="B97" s="1556"/>
      <c r="C97" s="1556"/>
      <c r="D97" s="1556"/>
      <c r="E97" s="1556"/>
      <c r="F97" s="1556"/>
      <c r="G97" s="1556"/>
      <c r="H97" s="1556"/>
      <c r="I97" s="1556"/>
      <c r="J97" s="1556"/>
      <c r="K97" s="1556"/>
      <c r="L97" s="1556"/>
      <c r="M97" s="1556"/>
      <c r="N97" s="1556"/>
      <c r="O97" s="1556"/>
      <c r="P97" s="1556"/>
      <c r="Q97" s="1556"/>
      <c r="R97" s="1556"/>
      <c r="S97" s="1556"/>
      <c r="T97" s="1556"/>
      <c r="U97" s="1556"/>
      <c r="V97" s="1556"/>
      <c r="W97" s="1556"/>
      <c r="X97" s="1556"/>
      <c r="Y97" s="1556"/>
      <c r="Z97" s="1556"/>
      <c r="AA97" s="1556"/>
      <c r="AB97" s="1556"/>
      <c r="AC97" s="1556"/>
      <c r="AD97" s="1556"/>
      <c r="AE97" s="1556"/>
      <c r="AF97" s="1556"/>
      <c r="AG97" s="1556"/>
      <c r="AH97" s="1556"/>
      <c r="AI97" s="1556"/>
      <c r="AJ97" s="1556"/>
      <c r="AK97" s="1556"/>
      <c r="AL97" s="1556"/>
      <c r="AM97" s="1556"/>
      <c r="AN97" s="1556"/>
      <c r="AO97" s="1556"/>
      <c r="AP97" s="1556"/>
      <c r="AQ97" s="1556"/>
      <c r="AR97" s="1556"/>
      <c r="AS97" s="1556"/>
      <c r="AT97" s="1556"/>
      <c r="AU97" s="20"/>
      <c r="AV97" s="20"/>
      <c r="AW97" s="20"/>
      <c r="AX97" s="20"/>
      <c r="AY97" s="20"/>
      <c r="AZ97" s="20"/>
    </row>
    <row r="98" spans="1:52" ht="12.95" customHeight="1">
      <c r="A98" s="1556"/>
      <c r="B98" s="1556"/>
      <c r="C98" s="1556"/>
      <c r="D98" s="1556"/>
      <c r="E98" s="1556"/>
      <c r="F98" s="1556"/>
      <c r="G98" s="1556"/>
      <c r="H98" s="1556"/>
      <c r="I98" s="1556"/>
      <c r="J98" s="1556"/>
      <c r="K98" s="1556"/>
      <c r="L98" s="1556"/>
      <c r="M98" s="1556"/>
      <c r="N98" s="1556"/>
      <c r="O98" s="1556"/>
      <c r="P98" s="1556"/>
      <c r="Q98" s="1556"/>
      <c r="R98" s="1556"/>
      <c r="S98" s="1556"/>
      <c r="T98" s="1556"/>
      <c r="U98" s="1556"/>
      <c r="V98" s="1556"/>
      <c r="W98" s="1556"/>
      <c r="X98" s="1556"/>
      <c r="Y98" s="1556"/>
      <c r="Z98" s="1556"/>
      <c r="AA98" s="1556"/>
      <c r="AB98" s="1556"/>
      <c r="AC98" s="1556"/>
      <c r="AD98" s="1556"/>
      <c r="AE98" s="1556"/>
      <c r="AF98" s="1556"/>
      <c r="AG98" s="1556"/>
      <c r="AH98" s="1556"/>
      <c r="AI98" s="1556"/>
      <c r="AJ98" s="1556"/>
      <c r="AK98" s="1556"/>
      <c r="AL98" s="1556"/>
      <c r="AM98" s="1556"/>
      <c r="AN98" s="1556"/>
      <c r="AO98" s="1556"/>
      <c r="AP98" s="1556"/>
      <c r="AQ98" s="1556"/>
      <c r="AR98" s="1556"/>
      <c r="AS98" s="1556"/>
      <c r="AT98" s="1556"/>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8" t="s">
        <v>2526</v>
      </c>
      <c r="B100" s="1308"/>
      <c r="C100" s="1308"/>
      <c r="D100" s="1308"/>
      <c r="E100" s="1308"/>
      <c r="F100" s="1308"/>
      <c r="G100" s="1308"/>
      <c r="H100" s="1308"/>
      <c r="I100" s="1308"/>
      <c r="J100" s="1308"/>
      <c r="K100" s="1308"/>
      <c r="L100" s="1308"/>
      <c r="M100" s="1308"/>
      <c r="N100" s="1308"/>
      <c r="O100" s="1308"/>
      <c r="P100" s="1308"/>
      <c r="Q100" s="1308"/>
      <c r="R100" s="1308"/>
      <c r="S100" s="1308"/>
      <c r="T100" s="1308"/>
      <c r="U100" s="1308"/>
      <c r="V100" s="1308"/>
      <c r="W100" s="1308"/>
      <c r="X100" s="1308"/>
      <c r="Y100" s="1308"/>
      <c r="Z100" s="1308"/>
      <c r="AA100" s="1308"/>
      <c r="AB100" s="1308"/>
      <c r="AC100" s="1308"/>
      <c r="AD100" s="1308"/>
      <c r="AE100" s="1308"/>
      <c r="AF100" s="1308"/>
      <c r="AG100" s="1308"/>
      <c r="AH100" s="1308"/>
      <c r="AI100" s="1308"/>
      <c r="AJ100" s="1308"/>
      <c r="AK100" s="1308"/>
      <c r="AL100" s="1308"/>
      <c r="AM100" s="1308"/>
      <c r="AN100" s="1308"/>
      <c r="AO100" s="1308"/>
      <c r="AP100" s="1308"/>
      <c r="AQ100" s="1308"/>
      <c r="AR100" s="1308"/>
      <c r="AS100" s="1308"/>
      <c r="AT100" s="1308"/>
      <c r="AU100" s="20"/>
      <c r="AV100" s="20"/>
      <c r="AW100" s="20"/>
      <c r="AX100" s="20"/>
      <c r="AY100" s="20"/>
      <c r="AZ100" s="20"/>
    </row>
    <row r="101" spans="1:52" ht="12.95" customHeight="1">
      <c r="A101" s="1308"/>
      <c r="B101" s="1308"/>
      <c r="C101" s="1308"/>
      <c r="D101" s="1308"/>
      <c r="E101" s="1308"/>
      <c r="F101" s="1308"/>
      <c r="G101" s="1308"/>
      <c r="H101" s="1308"/>
      <c r="I101" s="1308"/>
      <c r="J101" s="1308"/>
      <c r="K101" s="1308"/>
      <c r="L101" s="1308"/>
      <c r="M101" s="1308"/>
      <c r="N101" s="1308"/>
      <c r="O101" s="1308"/>
      <c r="P101" s="1308"/>
      <c r="Q101" s="1308"/>
      <c r="R101" s="1308"/>
      <c r="S101" s="1308"/>
      <c r="T101" s="1308"/>
      <c r="U101" s="1308"/>
      <c r="V101" s="1308"/>
      <c r="W101" s="1308"/>
      <c r="X101" s="1308"/>
      <c r="Y101" s="1308"/>
      <c r="Z101" s="1308"/>
      <c r="AA101" s="1308"/>
      <c r="AB101" s="1308"/>
      <c r="AC101" s="1308"/>
      <c r="AD101" s="1308"/>
      <c r="AE101" s="1308"/>
      <c r="AF101" s="1308"/>
      <c r="AG101" s="1308"/>
      <c r="AH101" s="1308"/>
      <c r="AI101" s="1308"/>
      <c r="AJ101" s="1308"/>
      <c r="AK101" s="1308"/>
      <c r="AL101" s="1308"/>
      <c r="AM101" s="1308"/>
      <c r="AN101" s="1308"/>
      <c r="AO101" s="1308"/>
      <c r="AP101" s="1308"/>
      <c r="AQ101" s="1308"/>
      <c r="AR101" s="1308"/>
      <c r="AS101" s="1308"/>
      <c r="AT101" s="1308"/>
      <c r="AU101" s="20"/>
      <c r="AV101" s="20"/>
      <c r="AW101" s="20"/>
      <c r="AX101" s="20"/>
      <c r="AY101" s="20"/>
      <c r="AZ101" s="20"/>
    </row>
    <row r="102" spans="1:52" ht="12.95" customHeight="1">
      <c r="A102" s="1308"/>
      <c r="B102" s="1308"/>
      <c r="C102" s="1308"/>
      <c r="D102" s="1308"/>
      <c r="E102" s="1308"/>
      <c r="F102" s="1308"/>
      <c r="G102" s="1308"/>
      <c r="H102" s="1308"/>
      <c r="I102" s="1308"/>
      <c r="J102" s="1308"/>
      <c r="K102" s="1308"/>
      <c r="L102" s="1308"/>
      <c r="M102" s="1308"/>
      <c r="N102" s="1308"/>
      <c r="O102" s="1308"/>
      <c r="P102" s="1308"/>
      <c r="Q102" s="1308"/>
      <c r="R102" s="1308"/>
      <c r="S102" s="1308"/>
      <c r="T102" s="1308"/>
      <c r="U102" s="1308"/>
      <c r="V102" s="1308"/>
      <c r="W102" s="1308"/>
      <c r="X102" s="1308"/>
      <c r="Y102" s="1308"/>
      <c r="Z102" s="1308"/>
      <c r="AA102" s="1308"/>
      <c r="AB102" s="1308"/>
      <c r="AC102" s="1308"/>
      <c r="AD102" s="1308"/>
      <c r="AE102" s="1308"/>
      <c r="AF102" s="1308"/>
      <c r="AG102" s="1308"/>
      <c r="AH102" s="1308"/>
      <c r="AI102" s="1308"/>
      <c r="AJ102" s="1308"/>
      <c r="AK102" s="1308"/>
      <c r="AL102" s="1308"/>
      <c r="AM102" s="1308"/>
      <c r="AN102" s="1308"/>
      <c r="AO102" s="1308"/>
      <c r="AP102" s="1308"/>
      <c r="AQ102" s="1308"/>
      <c r="AR102" s="1308"/>
      <c r="AS102" s="1308"/>
      <c r="AT102" s="1308"/>
      <c r="AU102" s="20"/>
      <c r="AV102" s="20"/>
      <c r="AW102" s="20"/>
      <c r="AX102" s="20"/>
      <c r="AY102" s="20"/>
      <c r="AZ102" s="20"/>
    </row>
    <row r="103" spans="1:52" ht="12.95" customHeight="1">
      <c r="A103" s="1308"/>
      <c r="B103" s="1308"/>
      <c r="C103" s="1308"/>
      <c r="D103" s="1308"/>
      <c r="E103" s="1308"/>
      <c r="F103" s="1308"/>
      <c r="G103" s="1308"/>
      <c r="H103" s="1308"/>
      <c r="I103" s="1308"/>
      <c r="J103" s="1308"/>
      <c r="K103" s="1308"/>
      <c r="L103" s="1308"/>
      <c r="M103" s="1308"/>
      <c r="N103" s="1308"/>
      <c r="O103" s="1308"/>
      <c r="P103" s="1308"/>
      <c r="Q103" s="1308"/>
      <c r="R103" s="1308"/>
      <c r="S103" s="1308"/>
      <c r="T103" s="1308"/>
      <c r="U103" s="1308"/>
      <c r="V103" s="1308"/>
      <c r="W103" s="1308"/>
      <c r="X103" s="1308"/>
      <c r="Y103" s="1308"/>
      <c r="Z103" s="1308"/>
      <c r="AA103" s="1308"/>
      <c r="AB103" s="1308"/>
      <c r="AC103" s="1308"/>
      <c r="AD103" s="1308"/>
      <c r="AE103" s="1308"/>
      <c r="AF103" s="1308"/>
      <c r="AG103" s="1308"/>
      <c r="AH103" s="1308"/>
      <c r="AI103" s="1308"/>
      <c r="AJ103" s="1308"/>
      <c r="AK103" s="1308"/>
      <c r="AL103" s="1308"/>
      <c r="AM103" s="1308"/>
      <c r="AN103" s="1308"/>
      <c r="AO103" s="1308"/>
      <c r="AP103" s="1308"/>
      <c r="AQ103" s="1308"/>
      <c r="AR103" s="1308"/>
      <c r="AS103" s="1308"/>
      <c r="AT103" s="1308"/>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8" t="s">
        <v>2527</v>
      </c>
      <c r="B105" s="1308"/>
      <c r="C105" s="1308"/>
      <c r="D105" s="1308"/>
      <c r="E105" s="1308"/>
      <c r="F105" s="1308"/>
      <c r="G105" s="1308"/>
      <c r="H105" s="1308"/>
      <c r="I105" s="1308"/>
      <c r="J105" s="1308"/>
      <c r="K105" s="1308"/>
      <c r="L105" s="1308"/>
      <c r="M105" s="1308"/>
      <c r="N105" s="1308"/>
      <c r="O105" s="1308"/>
      <c r="P105" s="1308"/>
      <c r="Q105" s="1308"/>
      <c r="R105" s="1308"/>
      <c r="S105" s="1308"/>
      <c r="T105" s="1308"/>
      <c r="U105" s="1308"/>
      <c r="V105" s="1308"/>
      <c r="W105" s="1308"/>
      <c r="X105" s="1308"/>
      <c r="Y105" s="1308"/>
      <c r="Z105" s="1308"/>
      <c r="AA105" s="1308"/>
      <c r="AB105" s="1308"/>
      <c r="AC105" s="1308"/>
      <c r="AD105" s="1308"/>
      <c r="AE105" s="1308"/>
      <c r="AF105" s="1308"/>
      <c r="AG105" s="1308"/>
      <c r="AH105" s="1308"/>
      <c r="AI105" s="1308"/>
      <c r="AJ105" s="1308"/>
      <c r="AK105" s="1308"/>
      <c r="AL105" s="1308"/>
      <c r="AM105" s="1308"/>
      <c r="AN105" s="1308"/>
      <c r="AO105" s="1308"/>
      <c r="AP105" s="1308"/>
      <c r="AQ105" s="1308"/>
      <c r="AR105" s="1308"/>
      <c r="AS105" s="1308"/>
      <c r="AT105" s="1308"/>
      <c r="AU105" s="20"/>
      <c r="AV105" s="20"/>
      <c r="AW105" s="20"/>
      <c r="AX105" s="20"/>
      <c r="AY105" s="20"/>
    </row>
    <row r="106" spans="1:52" ht="12.95" customHeight="1">
      <c r="A106" s="1308"/>
      <c r="B106" s="1308"/>
      <c r="C106" s="1308"/>
      <c r="D106" s="1308"/>
      <c r="E106" s="1308"/>
      <c r="F106" s="1308"/>
      <c r="G106" s="1308"/>
      <c r="H106" s="1308"/>
      <c r="I106" s="1308"/>
      <c r="J106" s="1308"/>
      <c r="K106" s="1308"/>
      <c r="L106" s="1308"/>
      <c r="M106" s="1308"/>
      <c r="N106" s="1308"/>
      <c r="O106" s="1308"/>
      <c r="P106" s="1308"/>
      <c r="Q106" s="1308"/>
      <c r="R106" s="1308"/>
      <c r="S106" s="1308"/>
      <c r="T106" s="1308"/>
      <c r="U106" s="1308"/>
      <c r="V106" s="1308"/>
      <c r="W106" s="1308"/>
      <c r="X106" s="1308"/>
      <c r="Y106" s="1308"/>
      <c r="Z106" s="1308"/>
      <c r="AA106" s="1308"/>
      <c r="AB106" s="1308"/>
      <c r="AC106" s="1308"/>
      <c r="AD106" s="1308"/>
      <c r="AE106" s="1308"/>
      <c r="AF106" s="1308"/>
      <c r="AG106" s="1308"/>
      <c r="AH106" s="1308"/>
      <c r="AI106" s="1308"/>
      <c r="AJ106" s="1308"/>
      <c r="AK106" s="1308"/>
      <c r="AL106" s="1308"/>
      <c r="AM106" s="1308"/>
      <c r="AN106" s="1308"/>
      <c r="AO106" s="1308"/>
      <c r="AP106" s="1308"/>
      <c r="AQ106" s="1308"/>
      <c r="AR106" s="1308"/>
      <c r="AS106" s="1308"/>
      <c r="AT106" s="1308"/>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559">
        <v>27</v>
      </c>
      <c r="H113" s="1559"/>
      <c r="I113" s="3" t="s">
        <v>182</v>
      </c>
      <c r="L113" s="1559" t="s">
        <v>2642</v>
      </c>
      <c r="M113" s="1559"/>
      <c r="N113" s="1559"/>
      <c r="O113" s="1559"/>
      <c r="P113" s="1572" t="s">
        <v>2529</v>
      </c>
      <c r="Q113" s="1572"/>
      <c r="R113" s="1572"/>
      <c r="S113" s="1572"/>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60" t="s">
        <v>739</v>
      </c>
      <c r="D115" s="1560"/>
      <c r="E115" s="1560"/>
      <c r="F115" s="1560"/>
      <c r="G115" s="1560"/>
      <c r="H115" s="1560"/>
      <c r="I115" s="1560"/>
      <c r="J115" s="1560"/>
      <c r="K115" s="1560"/>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637</v>
      </c>
      <c r="Y117" s="1559"/>
      <c r="Z117" s="1559"/>
      <c r="AA117" s="1559"/>
      <c r="AB117" s="1559"/>
      <c r="AC117" s="1559"/>
      <c r="AD117" s="1559"/>
      <c r="AE117" s="1559"/>
      <c r="AF117" s="1559"/>
      <c r="AG117" s="1559"/>
      <c r="AH117" s="1559"/>
      <c r="AI117" s="1559"/>
      <c r="AJ117" s="1559"/>
      <c r="AK117" s="1559"/>
    </row>
    <row r="118" spans="1:51" ht="12.95" customHeight="1">
      <c r="X118" s="3"/>
      <c r="Y118" s="3"/>
      <c r="Z118" s="3" t="s">
        <v>638</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559" t="s">
        <v>2651</v>
      </c>
      <c r="Z120" s="1559"/>
      <c r="AA120" s="1559"/>
      <c r="AB120" s="1559"/>
      <c r="AC120" s="1559"/>
      <c r="AD120" s="1559"/>
      <c r="AE120" s="1559"/>
      <c r="AF120" s="1559"/>
      <c r="AG120" s="1559"/>
      <c r="AH120" s="1559"/>
      <c r="AI120" s="1559"/>
      <c r="AJ120" s="1559"/>
      <c r="AK120" s="1559"/>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559" t="s">
        <v>2737</v>
      </c>
      <c r="Z123" s="1559"/>
      <c r="AA123" s="1559"/>
      <c r="AB123" s="1559"/>
      <c r="AC123" s="1559"/>
      <c r="AD123" s="1559"/>
      <c r="AE123" s="1559"/>
      <c r="AF123" s="1559"/>
      <c r="AG123" s="1559"/>
      <c r="AH123" s="1559"/>
      <c r="AI123" s="1559"/>
      <c r="AJ123" s="1559"/>
      <c r="AK123" s="1559"/>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11"/>
      <c r="G150" s="1311"/>
      <c r="H150" s="1311"/>
      <c r="I150" s="1311"/>
      <c r="J150" s="1311"/>
      <c r="K150" s="1311"/>
      <c r="L150" s="1311"/>
      <c r="M150" s="1311"/>
      <c r="N150" s="1311"/>
      <c r="O150" s="1311"/>
      <c r="P150" s="1311"/>
      <c r="Q150" s="1311"/>
      <c r="R150" s="1311"/>
      <c r="S150" s="1311"/>
      <c r="T150" s="131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654</v>
      </c>
      <c r="O153" s="1554" t="s">
        <v>2643</v>
      </c>
      <c r="P153" s="1509"/>
      <c r="Q153" s="1509"/>
      <c r="R153" s="1509"/>
      <c r="S153" s="1509"/>
      <c r="T153" s="1509"/>
      <c r="U153" s="1509"/>
      <c r="V153" s="1509"/>
      <c r="W153" s="1509"/>
      <c r="X153" s="1509"/>
      <c r="Y153" s="1509"/>
      <c r="Z153" s="1509"/>
      <c r="AA153" s="1509"/>
      <c r="AB153" s="1509"/>
      <c r="AC153" s="1509"/>
      <c r="AD153" s="1509"/>
      <c r="AE153" s="1509"/>
      <c r="AF153" s="1509"/>
      <c r="AG153" s="1509"/>
      <c r="AH153" s="1509"/>
    </row>
    <row r="154" spans="1:72" ht="12.95" customHeight="1">
      <c r="D154" s="325" t="s">
        <v>442</v>
      </c>
      <c r="O154" s="1403" t="s">
        <v>2644</v>
      </c>
      <c r="P154" s="1402"/>
      <c r="Q154" s="1402"/>
      <c r="R154" s="1402"/>
      <c r="S154" s="1402"/>
      <c r="T154" s="1402"/>
      <c r="U154" s="1402"/>
      <c r="V154" s="1402"/>
      <c r="W154" s="1402"/>
      <c r="X154" s="1402"/>
      <c r="Y154" s="1402"/>
      <c r="Z154" s="1402"/>
      <c r="AA154" s="1402"/>
      <c r="AB154" s="1402"/>
      <c r="AC154" s="1402"/>
      <c r="AD154" s="1402"/>
      <c r="AE154" s="1402"/>
      <c r="AF154" s="1402"/>
      <c r="AG154" s="1402"/>
      <c r="AH154" s="1402"/>
    </row>
    <row r="155" spans="1:72" ht="12.95" customHeight="1">
      <c r="D155" s="8" t="s">
        <v>444</v>
      </c>
      <c r="F155" s="8"/>
      <c r="G155" s="8"/>
      <c r="H155" s="8"/>
      <c r="I155" s="8"/>
      <c r="J155" s="8"/>
      <c r="K155" s="8"/>
      <c r="L155" s="8"/>
      <c r="M155" s="8"/>
      <c r="N155" s="8"/>
      <c r="O155" s="1569" t="s">
        <v>443</v>
      </c>
      <c r="P155" s="1569"/>
      <c r="Q155" s="1569"/>
      <c r="R155" s="1569"/>
      <c r="S155" s="1569"/>
      <c r="T155" s="1569"/>
      <c r="U155" s="1569"/>
      <c r="V155" s="1569"/>
      <c r="W155" s="1569"/>
      <c r="X155" s="1569"/>
      <c r="Y155" s="1569"/>
      <c r="Z155" s="1569"/>
      <c r="AA155" s="1569"/>
      <c r="AB155" s="1569"/>
      <c r="AC155" s="1569"/>
      <c r="AD155" s="1569"/>
      <c r="AE155" s="1569"/>
      <c r="AF155" s="1569"/>
      <c r="AG155" s="1569"/>
      <c r="AH155" s="1569"/>
    </row>
    <row r="156" spans="1:72" ht="12.95" customHeight="1">
      <c r="D156" t="s">
        <v>314</v>
      </c>
      <c r="O156" s="1398" t="s">
        <v>2645</v>
      </c>
      <c r="P156" s="1398"/>
      <c r="Q156" s="1398"/>
      <c r="R156" s="1398"/>
      <c r="S156" s="1398"/>
      <c r="T156" s="1398"/>
      <c r="U156" s="1398"/>
      <c r="V156" s="1398"/>
      <c r="W156" s="1398"/>
      <c r="X156" s="1398"/>
      <c r="Y156" s="1398"/>
      <c r="Z156" s="1398"/>
      <c r="AA156" s="1398"/>
      <c r="AB156" s="1398"/>
      <c r="AC156" s="1398"/>
      <c r="AD156" s="1398"/>
      <c r="AE156" s="1398"/>
      <c r="AF156" s="1398"/>
      <c r="AG156" s="1398"/>
      <c r="AH156" s="1398"/>
      <c r="BT156" t="s">
        <v>308</v>
      </c>
    </row>
    <row r="157" spans="1:72" ht="12.95" customHeight="1">
      <c r="D157" t="s">
        <v>315</v>
      </c>
      <c r="O157" s="1554" t="s">
        <v>2646</v>
      </c>
      <c r="P157" s="1509"/>
      <c r="Q157" s="1509"/>
      <c r="R157" s="1509"/>
      <c r="S157" s="1509"/>
      <c r="T157" s="1509"/>
      <c r="U157" s="1509"/>
      <c r="V157" s="1509"/>
      <c r="W157" s="1509"/>
      <c r="X157" s="1509"/>
      <c r="Y157" s="8"/>
      <c r="Z157" s="8"/>
      <c r="AA157" s="8"/>
      <c r="AB157" s="8"/>
      <c r="AC157" s="8"/>
      <c r="AD157" s="8"/>
      <c r="AE157" s="8"/>
      <c r="AF157" s="8"/>
      <c r="BN157" s="23" t="s">
        <v>645</v>
      </c>
      <c r="BT157" t="s">
        <v>485</v>
      </c>
    </row>
    <row r="158" spans="1:72" ht="12.95" customHeight="1">
      <c r="D158" t="s">
        <v>316</v>
      </c>
      <c r="O158" s="1582">
        <v>91941</v>
      </c>
      <c r="P158" s="1582"/>
      <c r="Q158" s="1582"/>
      <c r="R158" s="1582"/>
      <c r="S158" s="9"/>
      <c r="T158" s="9"/>
      <c r="U158" s="9"/>
      <c r="V158" s="9"/>
      <c r="W158" s="9"/>
      <c r="X158" s="9"/>
      <c r="Y158" s="9"/>
      <c r="Z158" s="9"/>
      <c r="AA158" s="9"/>
      <c r="AB158" s="9"/>
      <c r="AC158" s="9"/>
      <c r="AD158" s="9"/>
      <c r="AE158" s="9"/>
      <c r="AF158" s="9"/>
      <c r="BN158" s="23" t="s">
        <v>646</v>
      </c>
      <c r="BT158" t="s">
        <v>486</v>
      </c>
    </row>
    <row r="159" spans="1:72" ht="12.95" customHeight="1">
      <c r="D159" t="s">
        <v>317</v>
      </c>
      <c r="O159" s="1565" t="s">
        <v>2794</v>
      </c>
      <c r="P159" s="1565"/>
      <c r="Q159" s="1565"/>
      <c r="R159" s="1565"/>
      <c r="S159" s="1565"/>
      <c r="T159" s="1565"/>
      <c r="V159" s="97" t="s">
        <v>272</v>
      </c>
      <c r="W159" s="1583" t="s">
        <v>600</v>
      </c>
      <c r="X159" s="1583"/>
      <c r="Y159" s="10"/>
      <c r="Z159" s="10"/>
      <c r="AA159" s="10"/>
      <c r="AB159" s="10"/>
      <c r="AC159" s="10"/>
      <c r="AD159" s="10"/>
      <c r="AE159" s="10"/>
      <c r="AF159" s="10"/>
      <c r="BN159" s="23" t="s">
        <v>340</v>
      </c>
      <c r="BT159" t="s">
        <v>487</v>
      </c>
    </row>
    <row r="160" spans="1:72" ht="12.95" customHeight="1">
      <c r="D160" t="s">
        <v>318</v>
      </c>
      <c r="O160" s="1565" t="s">
        <v>2795</v>
      </c>
      <c r="P160" s="1565"/>
      <c r="Q160" s="1565"/>
      <c r="R160" s="1565"/>
      <c r="S160" s="1565"/>
      <c r="T160" s="1565"/>
      <c r="U160" s="10"/>
      <c r="V160" s="10"/>
      <c r="W160" s="10"/>
      <c r="X160" s="10"/>
      <c r="Y160" s="10"/>
      <c r="Z160" s="10"/>
      <c r="AA160" s="10"/>
      <c r="AB160" s="10"/>
      <c r="AC160" s="10"/>
      <c r="AD160" s="10"/>
      <c r="AE160" s="10"/>
      <c r="AF160" s="10"/>
      <c r="BN160" s="23" t="s">
        <v>669</v>
      </c>
      <c r="BT160" t="s">
        <v>488</v>
      </c>
    </row>
    <row r="161" spans="1:72" ht="12.95" customHeight="1">
      <c r="D161" t="s">
        <v>319</v>
      </c>
      <c r="O161" s="1550" t="s">
        <v>2647</v>
      </c>
      <c r="P161" s="1550"/>
      <c r="Q161" s="1550"/>
      <c r="R161" s="1550"/>
      <c r="S161" s="1550"/>
      <c r="T161" s="1550"/>
      <c r="U161" s="1550"/>
      <c r="V161" s="1550"/>
      <c r="W161" s="1550"/>
      <c r="X161" s="1550"/>
      <c r="Y161" s="1550"/>
      <c r="Z161" s="1550"/>
      <c r="AA161" s="1550"/>
      <c r="AB161" s="1550"/>
      <c r="AC161" s="1550"/>
      <c r="AD161" s="1550"/>
      <c r="AE161" s="1550"/>
      <c r="AF161" s="1550"/>
      <c r="AG161" s="1550"/>
      <c r="AH161" s="1550"/>
      <c r="BJ161" t="s">
        <v>678</v>
      </c>
      <c r="BN161" s="23" t="s">
        <v>670</v>
      </c>
      <c r="BT161" t="s">
        <v>489</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2.95" customHeight="1">
      <c r="C163" s="27" t="s">
        <v>82</v>
      </c>
      <c r="D163" s="3" t="s">
        <v>2415</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2.95" customHeight="1">
      <c r="C164" s="27"/>
      <c r="D164" s="1561" t="s">
        <v>2624</v>
      </c>
      <c r="E164" s="1561"/>
      <c r="F164" s="1561"/>
      <c r="G164" s="1561"/>
      <c r="H164" s="1561"/>
      <c r="I164" s="1561"/>
      <c r="J164" s="1561"/>
      <c r="K164" s="1561"/>
      <c r="L164" s="1561"/>
      <c r="M164" s="1561"/>
      <c r="N164" s="1561"/>
      <c r="O164" s="1561"/>
      <c r="P164" s="1561"/>
      <c r="Q164" s="1561"/>
      <c r="R164" s="1561"/>
      <c r="S164" s="1561"/>
      <c r="T164" s="1561"/>
      <c r="U164" s="1561"/>
      <c r="V164" s="1561"/>
      <c r="W164" s="1561"/>
      <c r="X164" s="1561"/>
      <c r="Y164" s="1561"/>
      <c r="Z164" s="1561"/>
      <c r="AA164" s="1561"/>
      <c r="AB164" s="1561"/>
      <c r="AC164" s="1561"/>
      <c r="AD164" s="1561"/>
      <c r="AE164" s="1561"/>
      <c r="AF164" s="1561"/>
      <c r="AG164" s="1561"/>
      <c r="AH164" s="1561"/>
      <c r="BN164" s="23" t="s">
        <v>673</v>
      </c>
      <c r="BT164" t="s">
        <v>492</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2.95" customHeight="1">
      <c r="A169" s="1573" t="s">
        <v>548</v>
      </c>
      <c r="B169" s="1573"/>
      <c r="C169" s="1573"/>
      <c r="D169" s="1573"/>
      <c r="E169" s="1573"/>
      <c r="F169" s="1573"/>
      <c r="G169" s="1573"/>
      <c r="H169" s="1573"/>
      <c r="I169" s="1573"/>
      <c r="J169" s="1573"/>
      <c r="K169" s="1573"/>
      <c r="L169" s="1573"/>
      <c r="M169" s="1573"/>
      <c r="N169" s="1573"/>
      <c r="O169" s="1573"/>
      <c r="P169" s="1573"/>
      <c r="Q169" s="1573"/>
      <c r="R169" s="1573"/>
      <c r="S169" s="1573"/>
      <c r="T169" s="1573"/>
      <c r="U169" s="1573"/>
      <c r="V169" s="1573"/>
      <c r="W169" s="1573"/>
      <c r="X169" s="1573"/>
      <c r="Y169" s="1573"/>
      <c r="Z169" s="1573"/>
      <c r="AA169" s="1573"/>
      <c r="AB169" s="1573"/>
      <c r="AC169" s="1573"/>
      <c r="AD169" s="1573"/>
      <c r="AE169" s="1573"/>
      <c r="AF169" s="1573"/>
      <c r="AG169" s="1573"/>
      <c r="AH169" s="1573"/>
      <c r="AI169" s="1573"/>
      <c r="AJ169" s="1573"/>
      <c r="AK169" s="1573"/>
      <c r="AL169" s="1573"/>
      <c r="AM169" s="1573"/>
      <c r="AN169" s="1573"/>
      <c r="AO169" s="1573"/>
      <c r="AP169" s="1573"/>
      <c r="AQ169" s="1573"/>
      <c r="AR169" s="1573"/>
      <c r="AS169" s="1573"/>
      <c r="AT169" s="1573"/>
      <c r="AU169" s="95"/>
      <c r="AV169" s="95"/>
      <c r="AW169" s="95"/>
      <c r="AX169" s="95"/>
      <c r="AY169" s="95"/>
      <c r="BN169" s="23" t="s">
        <v>682</v>
      </c>
      <c r="BT169" t="s">
        <v>497</v>
      </c>
    </row>
    <row r="170" spans="1:72" ht="12.95" customHeight="1">
      <c r="A170" s="1573"/>
      <c r="B170" s="1573"/>
      <c r="C170" s="1573"/>
      <c r="D170" s="1573"/>
      <c r="E170" s="1573"/>
      <c r="F170" s="1573"/>
      <c r="G170" s="1573"/>
      <c r="H170" s="1573"/>
      <c r="I170" s="1573"/>
      <c r="J170" s="1573"/>
      <c r="K170" s="1573"/>
      <c r="L170" s="1573"/>
      <c r="M170" s="1573"/>
      <c r="N170" s="1573"/>
      <c r="O170" s="1573"/>
      <c r="P170" s="1573"/>
      <c r="Q170" s="1573"/>
      <c r="R170" s="1573"/>
      <c r="S170" s="1573"/>
      <c r="T170" s="1573"/>
      <c r="U170" s="1573"/>
      <c r="V170" s="1573"/>
      <c r="W170" s="1573"/>
      <c r="X170" s="1573"/>
      <c r="Y170" s="1573"/>
      <c r="Z170" s="1573"/>
      <c r="AA170" s="1573"/>
      <c r="AB170" s="1573"/>
      <c r="AC170" s="1573"/>
      <c r="AD170" s="1573"/>
      <c r="AE170" s="1573"/>
      <c r="AF170" s="1573"/>
      <c r="AG170" s="1573"/>
      <c r="AH170" s="1573"/>
      <c r="AI170" s="1573"/>
      <c r="AJ170" s="1573"/>
      <c r="AK170" s="1573"/>
      <c r="AL170" s="1573"/>
      <c r="AM170" s="1573"/>
      <c r="AN170" s="1573"/>
      <c r="AO170" s="1573"/>
      <c r="AP170" s="1573"/>
      <c r="AQ170" s="1573"/>
      <c r="AR170" s="1573"/>
      <c r="AS170" s="1573"/>
      <c r="AT170" s="1573"/>
      <c r="AU170" s="95"/>
      <c r="AV170" s="95"/>
      <c r="AW170" s="95"/>
      <c r="AX170" s="95"/>
      <c r="AY170" s="95"/>
      <c r="BN170" s="23" t="s">
        <v>683</v>
      </c>
      <c r="BT170" t="s">
        <v>498</v>
      </c>
    </row>
    <row r="171" spans="1:72" ht="12.95" customHeight="1">
      <c r="BN171" s="23" t="s">
        <v>212</v>
      </c>
      <c r="BT171" t="s">
        <v>499</v>
      </c>
    </row>
    <row r="172" spans="1:72" ht="12.95" customHeight="1">
      <c r="A172" s="2" t="s">
        <v>320</v>
      </c>
      <c r="C172" s="2" t="s">
        <v>321</v>
      </c>
      <c r="BN172" s="23" t="s">
        <v>214</v>
      </c>
      <c r="BT172" t="s">
        <v>500</v>
      </c>
    </row>
    <row r="173" spans="1:72" ht="12.95" customHeight="1">
      <c r="C173" s="24"/>
      <c r="D173" t="s">
        <v>322</v>
      </c>
      <c r="J173" s="1568" t="s">
        <v>372</v>
      </c>
      <c r="K173" s="1568"/>
      <c r="L173" s="1568"/>
      <c r="M173" s="1568"/>
      <c r="N173" s="1568"/>
      <c r="O173" s="1568"/>
      <c r="P173" s="1568"/>
      <c r="Q173" s="1568"/>
      <c r="R173" s="1568"/>
      <c r="S173" s="1568"/>
      <c r="U173" s="25"/>
      <c r="X173" s="25"/>
      <c r="BB173" s="3" t="s">
        <v>308</v>
      </c>
      <c r="BN173" s="23" t="s">
        <v>215</v>
      </c>
      <c r="BT173" t="s">
        <v>501</v>
      </c>
    </row>
    <row r="174" spans="1:72" ht="12.95" customHeight="1">
      <c r="C174" s="24"/>
      <c r="D174" s="3" t="s">
        <v>1309</v>
      </c>
      <c r="J174" s="1398" t="s">
        <v>2421</v>
      </c>
      <c r="K174" s="1398"/>
      <c r="L174" s="1398"/>
      <c r="M174" s="1398"/>
      <c r="N174" s="1398"/>
      <c r="O174" s="1398"/>
      <c r="P174" s="1398"/>
      <c r="Q174" s="1398"/>
      <c r="R174" s="1398"/>
      <c r="S174" s="1398"/>
      <c r="T174" s="1398"/>
      <c r="U174" s="1398"/>
      <c r="V174" s="1398"/>
      <c r="W174" s="1398"/>
      <c r="X174" s="1398"/>
      <c r="Y174" s="1398"/>
      <c r="Z174" s="1398"/>
      <c r="AA174" s="1398"/>
      <c r="AB174" s="1398"/>
      <c r="BB174" t="s">
        <v>2274</v>
      </c>
      <c r="BN174" s="23" t="s">
        <v>217</v>
      </c>
      <c r="BT174" t="s">
        <v>502</v>
      </c>
    </row>
    <row r="175" spans="1:72" ht="12.95" customHeight="1">
      <c r="C175" s="8"/>
      <c r="D175" s="3" t="s">
        <v>323</v>
      </c>
      <c r="O175" s="27"/>
      <c r="U175" s="1494" t="s">
        <v>554</v>
      </c>
      <c r="V175" s="1494"/>
      <c r="BB175" t="s">
        <v>2238</v>
      </c>
      <c r="BN175" s="23" t="s">
        <v>218</v>
      </c>
      <c r="BT175" t="s">
        <v>503</v>
      </c>
    </row>
    <row r="176" spans="1:72" ht="12.95" customHeight="1">
      <c r="C176" s="8"/>
      <c r="D176" s="26"/>
      <c r="E176" t="s">
        <v>305</v>
      </c>
      <c r="O176" s="27"/>
      <c r="P176" t="s">
        <v>2396</v>
      </c>
      <c r="T176" s="27" t="s">
        <v>306</v>
      </c>
      <c r="U176" s="1564">
        <v>24</v>
      </c>
      <c r="V176" s="1564"/>
      <c r="W176" s="1" t="s">
        <v>307</v>
      </c>
      <c r="X176" s="1571">
        <v>431</v>
      </c>
      <c r="Y176" s="1571"/>
      <c r="BB176" t="s">
        <v>2275</v>
      </c>
      <c r="BN176" s="23" t="s">
        <v>220</v>
      </c>
      <c r="BT176" t="s">
        <v>504</v>
      </c>
    </row>
    <row r="177" spans="1:72" ht="12.95" customHeight="1">
      <c r="C177" s="24"/>
      <c r="D177" t="s">
        <v>250</v>
      </c>
      <c r="R177" s="1494" t="s">
        <v>678</v>
      </c>
      <c r="S177" s="1494"/>
      <c r="BB177" t="s">
        <v>2578</v>
      </c>
      <c r="BN177" s="23" t="s">
        <v>221</v>
      </c>
      <c r="BT177" t="s">
        <v>505</v>
      </c>
    </row>
    <row r="178" spans="1:72" ht="12.95" customHeight="1">
      <c r="C178" s="24"/>
      <c r="D178" s="3" t="s">
        <v>1310</v>
      </c>
      <c r="AA178" t="s">
        <v>2396</v>
      </c>
      <c r="AE178" s="27" t="s">
        <v>306</v>
      </c>
      <c r="AF178" s="1576"/>
      <c r="AG178" s="1576"/>
      <c r="AH178" s="1" t="s">
        <v>307</v>
      </c>
      <c r="AI178" s="1504"/>
      <c r="AJ178" s="1504"/>
      <c r="AK178" s="1504"/>
      <c r="BB178" t="s">
        <v>2579</v>
      </c>
      <c r="BN178" s="23" t="s">
        <v>222</v>
      </c>
      <c r="BT178" t="s">
        <v>53</v>
      </c>
    </row>
    <row r="179" spans="1:72" ht="12.95" customHeight="1">
      <c r="C179" s="24"/>
      <c r="BN179" s="23" t="s">
        <v>223</v>
      </c>
      <c r="BT179" t="s">
        <v>54</v>
      </c>
    </row>
    <row r="180" spans="1:72" ht="12.95" customHeight="1">
      <c r="C180" s="24"/>
      <c r="D180" t="s">
        <v>2397</v>
      </c>
      <c r="X180" s="1494" t="s">
        <v>678</v>
      </c>
      <c r="Y180" s="1494"/>
      <c r="BN180" s="23" t="s">
        <v>225</v>
      </c>
      <c r="BT180" t="s">
        <v>55</v>
      </c>
    </row>
    <row r="181" spans="1:72" ht="12.95" customHeight="1">
      <c r="C181" s="8"/>
      <c r="E181" s="4" t="s">
        <v>996</v>
      </c>
      <c r="BN181" s="23" t="s">
        <v>226</v>
      </c>
      <c r="BT181" t="s">
        <v>56</v>
      </c>
    </row>
    <row r="182" spans="1:72" ht="12.95" customHeight="1">
      <c r="C182" s="564"/>
      <c r="BN182" s="23" t="s">
        <v>227</v>
      </c>
      <c r="BT182" t="s">
        <v>60</v>
      </c>
    </row>
    <row r="183" spans="1:72" ht="12.95" customHeight="1">
      <c r="A183" s="2" t="s">
        <v>585</v>
      </c>
      <c r="C183" s="2" t="s">
        <v>586</v>
      </c>
      <c r="BN183" s="23" t="s">
        <v>229</v>
      </c>
      <c r="BT183" t="s">
        <v>61</v>
      </c>
    </row>
    <row r="184" spans="1:72" ht="12.95" customHeight="1">
      <c r="C184" s="21"/>
      <c r="D184" t="s">
        <v>587</v>
      </c>
      <c r="I184" s="1536" t="str">
        <f>H18</f>
        <v>Spring Street Trolley Station</v>
      </c>
      <c r="J184" s="1536"/>
      <c r="K184" s="1536"/>
      <c r="L184" s="1536"/>
      <c r="M184" s="1536"/>
      <c r="N184" s="1536"/>
      <c r="O184" s="1536"/>
      <c r="P184" s="1536"/>
      <c r="Q184" s="1536"/>
      <c r="R184" s="1536"/>
      <c r="S184" s="1536"/>
      <c r="T184" s="1536"/>
      <c r="U184" s="1536"/>
      <c r="V184" s="1536"/>
      <c r="W184" s="1536"/>
      <c r="X184" s="1536"/>
      <c r="Y184" s="1536"/>
      <c r="Z184" s="1536"/>
      <c r="AA184" s="1536"/>
      <c r="AB184" s="1536"/>
      <c r="AC184" s="1536"/>
      <c r="AD184" s="1536"/>
      <c r="AE184" s="1536"/>
      <c r="BC184" t="s">
        <v>596</v>
      </c>
      <c r="BN184" s="23" t="s">
        <v>231</v>
      </c>
      <c r="BT184" t="s">
        <v>62</v>
      </c>
    </row>
    <row r="185" spans="1:72" ht="12.95" customHeight="1">
      <c r="C185" s="21"/>
      <c r="D185" t="s">
        <v>588</v>
      </c>
      <c r="I185" s="1404" t="s">
        <v>2648</v>
      </c>
      <c r="J185" s="1404"/>
      <c r="K185" s="1404"/>
      <c r="L185" s="1404"/>
      <c r="M185" s="1404"/>
      <c r="N185" s="1404"/>
      <c r="O185" s="1404"/>
      <c r="P185" s="1404"/>
      <c r="Q185" s="1404"/>
      <c r="R185" s="1404"/>
      <c r="S185" s="1404"/>
      <c r="T185" s="1404"/>
      <c r="U185" s="1404"/>
      <c r="V185" s="1404"/>
      <c r="W185" s="1404"/>
      <c r="X185" s="1404"/>
      <c r="Y185" s="1404"/>
      <c r="Z185" s="1404"/>
      <c r="AA185" s="1404"/>
      <c r="AB185" s="1404"/>
      <c r="AC185" s="1404"/>
      <c r="AD185" s="1404"/>
      <c r="AE185" s="1404"/>
      <c r="BC185" t="s">
        <v>597</v>
      </c>
      <c r="BN185" s="23" t="s">
        <v>232</v>
      </c>
      <c r="BT185" t="s">
        <v>63</v>
      </c>
    </row>
    <row r="186" spans="1:72" ht="12.95" customHeight="1">
      <c r="C186" s="21"/>
      <c r="E186" t="s">
        <v>168</v>
      </c>
      <c r="BN186" s="23" t="s">
        <v>233</v>
      </c>
      <c r="BT186" t="s">
        <v>64</v>
      </c>
    </row>
    <row r="187" spans="1:72" ht="12.95" customHeight="1">
      <c r="C187" s="21"/>
      <c r="E187" s="1496"/>
      <c r="F187" s="1496"/>
      <c r="G187" s="1496"/>
      <c r="H187" s="1496"/>
      <c r="I187" s="1496"/>
      <c r="J187" s="1496"/>
      <c r="K187" s="1496"/>
      <c r="L187" s="1496"/>
      <c r="M187" s="1496"/>
      <c r="N187" s="1496"/>
      <c r="O187" s="1496"/>
      <c r="P187" s="1496"/>
      <c r="Q187" s="1496"/>
      <c r="R187" s="1496"/>
      <c r="S187" s="1496"/>
      <c r="T187" s="1496"/>
      <c r="U187" s="1496"/>
      <c r="V187" s="1496"/>
      <c r="W187" s="1496"/>
      <c r="X187" s="1496"/>
      <c r="Y187" s="1496"/>
      <c r="Z187" s="1496"/>
      <c r="AA187" s="1496"/>
      <c r="AB187" s="1496"/>
      <c r="AC187" s="1496"/>
      <c r="AD187" s="1496"/>
      <c r="AE187" s="1496"/>
      <c r="BN187" s="23" t="s">
        <v>234</v>
      </c>
      <c r="BT187" t="s">
        <v>65</v>
      </c>
    </row>
    <row r="188" spans="1:72" ht="12.95" customHeight="1">
      <c r="C188" s="21"/>
      <c r="E188" s="1469"/>
      <c r="F188" s="1469"/>
      <c r="G188" s="1469"/>
      <c r="H188" s="1469"/>
      <c r="I188" s="1469"/>
      <c r="J188" s="1469"/>
      <c r="K188" s="1469"/>
      <c r="L188" s="1469"/>
      <c r="M188" s="1469"/>
      <c r="N188" s="1469"/>
      <c r="O188" s="1469"/>
      <c r="P188" s="1469"/>
      <c r="Q188" s="1469"/>
      <c r="R188" s="1469"/>
      <c r="S188" s="1469"/>
      <c r="T188" s="1469"/>
      <c r="U188" s="1469"/>
      <c r="V188" s="1469"/>
      <c r="W188" s="1469"/>
      <c r="X188" s="1469"/>
      <c r="Y188" s="1469"/>
      <c r="Z188" s="1469"/>
      <c r="AA188" s="1469"/>
      <c r="AB188" s="1469"/>
      <c r="AC188" s="1469"/>
      <c r="AD188" s="1469"/>
      <c r="AE188" s="1469"/>
      <c r="BN188" s="23" t="s">
        <v>236</v>
      </c>
      <c r="BT188" t="s">
        <v>66</v>
      </c>
    </row>
    <row r="189" spans="1:72" ht="12.95" customHeight="1">
      <c r="C189" s="21"/>
      <c r="D189" t="s">
        <v>589</v>
      </c>
      <c r="I189" s="1398" t="s">
        <v>2646</v>
      </c>
      <c r="J189" s="1398"/>
      <c r="K189" s="1398"/>
      <c r="L189" s="1398"/>
      <c r="M189" s="1398"/>
      <c r="N189" s="1398"/>
      <c r="O189" s="1398"/>
      <c r="P189" s="1398"/>
      <c r="Q189" t="s">
        <v>591</v>
      </c>
      <c r="T189" s="1398" t="s">
        <v>739</v>
      </c>
      <c r="U189" s="1398"/>
      <c r="V189" s="1398"/>
      <c r="W189" s="1398"/>
      <c r="X189" s="1398"/>
      <c r="Y189" s="1398"/>
      <c r="Z189" s="1398"/>
      <c r="AA189" s="1398"/>
      <c r="AB189" s="1398"/>
      <c r="AC189" s="1398"/>
      <c r="AD189" s="1398"/>
      <c r="AE189" s="1398"/>
      <c r="BC189" t="s">
        <v>308</v>
      </c>
      <c r="BH189" s="3" t="s">
        <v>600</v>
      </c>
      <c r="BN189" s="23" t="s">
        <v>237</v>
      </c>
      <c r="BT189" t="s">
        <v>67</v>
      </c>
    </row>
    <row r="190" spans="1:72" ht="12.95" customHeight="1">
      <c r="C190" s="21"/>
      <c r="D190" t="s">
        <v>592</v>
      </c>
      <c r="I190" s="1404">
        <v>91941</v>
      </c>
      <c r="J190" s="1404"/>
      <c r="K190" s="1404"/>
      <c r="L190" s="1404"/>
      <c r="M190" s="1404"/>
      <c r="N190" s="1404"/>
      <c r="O190" t="s">
        <v>594</v>
      </c>
      <c r="T190" s="1584">
        <v>146.02000000000001</v>
      </c>
      <c r="U190" s="1584"/>
      <c r="V190" s="1584"/>
      <c r="W190" s="1584"/>
      <c r="X190" s="1584"/>
      <c r="Y190" s="1584"/>
      <c r="Z190" s="1584"/>
      <c r="AA190" s="1584"/>
      <c r="AB190" s="1584"/>
      <c r="AC190" s="1584"/>
      <c r="AD190" s="1584"/>
      <c r="AE190" s="1584"/>
      <c r="BC190" t="s">
        <v>1066</v>
      </c>
      <c r="BH190" t="s">
        <v>1066</v>
      </c>
      <c r="BN190" s="23" t="s">
        <v>644</v>
      </c>
      <c r="BT190" t="s">
        <v>68</v>
      </c>
    </row>
    <row r="191" spans="1:72" ht="12.95" customHeight="1">
      <c r="C191" s="21"/>
      <c r="D191" t="s">
        <v>471</v>
      </c>
      <c r="N191" s="1496" t="s">
        <v>2649</v>
      </c>
      <c r="O191" s="1496"/>
      <c r="P191" s="1496"/>
      <c r="Q191" s="1496"/>
      <c r="R191" s="1496"/>
      <c r="S191" s="1496"/>
      <c r="T191" s="1496"/>
      <c r="U191" s="1496"/>
      <c r="V191" s="1496"/>
      <c r="W191" s="1496"/>
      <c r="X191" s="1496"/>
      <c r="Y191" s="1496"/>
      <c r="Z191" s="1496"/>
      <c r="AA191" s="1496"/>
      <c r="AB191" s="1496"/>
      <c r="AC191" s="1496"/>
      <c r="AD191" s="1496"/>
      <c r="AE191" s="1496"/>
      <c r="BC191" t="s">
        <v>1065</v>
      </c>
      <c r="BH191" t="s">
        <v>1065</v>
      </c>
      <c r="BN191" s="23" t="s">
        <v>698</v>
      </c>
      <c r="BT191" t="s">
        <v>737</v>
      </c>
    </row>
    <row r="192" spans="1:72" ht="12.95" customHeight="1">
      <c r="C192" s="21"/>
      <c r="M192" s="40"/>
      <c r="N192" s="1469"/>
      <c r="O192" s="1469"/>
      <c r="P192" s="1469"/>
      <c r="Q192" s="1469"/>
      <c r="R192" s="1469"/>
      <c r="S192" s="1469"/>
      <c r="T192" s="1469"/>
      <c r="U192" s="1469"/>
      <c r="V192" s="1469"/>
      <c r="W192" s="1469"/>
      <c r="X192" s="1469"/>
      <c r="Y192" s="1469"/>
      <c r="Z192" s="1469"/>
      <c r="AA192" s="1469"/>
      <c r="AB192" s="1469"/>
      <c r="AC192" s="1469"/>
      <c r="AD192" s="1469"/>
      <c r="AE192" s="1469"/>
      <c r="BC192" t="s">
        <v>1068</v>
      </c>
      <c r="BH192" s="3" t="s">
        <v>1475</v>
      </c>
      <c r="BN192" s="23" t="s">
        <v>699</v>
      </c>
      <c r="BT192" t="s">
        <v>738</v>
      </c>
    </row>
    <row r="193" spans="1:74" ht="12.95" customHeight="1">
      <c r="C193" s="21"/>
      <c r="D193" t="s">
        <v>2398</v>
      </c>
      <c r="M193" s="40"/>
      <c r="N193" s="928"/>
      <c r="O193" s="928"/>
      <c r="P193" s="928"/>
      <c r="Q193" s="928"/>
      <c r="R193" s="928"/>
      <c r="S193" s="928"/>
      <c r="T193" s="1581" t="s">
        <v>2238</v>
      </c>
      <c r="U193" s="1581"/>
      <c r="V193" s="1581"/>
      <c r="W193" s="1581"/>
      <c r="X193" s="1581"/>
      <c r="Y193" s="1581"/>
      <c r="Z193" s="1581"/>
      <c r="AA193" s="1581"/>
      <c r="AB193" s="1581"/>
      <c r="AC193" s="1581"/>
      <c r="AD193" s="1581"/>
      <c r="AE193" s="1581"/>
      <c r="AF193" s="1581"/>
      <c r="AG193" s="1581"/>
      <c r="AH193" s="1581"/>
      <c r="AI193" s="1581"/>
      <c r="BC193" t="s">
        <v>1067</v>
      </c>
      <c r="BH193" s="3" t="s">
        <v>1742</v>
      </c>
      <c r="BN193" s="23" t="s">
        <v>700</v>
      </c>
      <c r="BT193" t="s">
        <v>739</v>
      </c>
    </row>
    <row r="194" spans="1:74" ht="12.95" customHeight="1">
      <c r="C194" s="21"/>
      <c r="D194" s="3" t="s">
        <v>2580</v>
      </c>
      <c r="M194" s="40"/>
      <c r="N194" s="928"/>
      <c r="O194" s="928"/>
      <c r="P194" s="928"/>
      <c r="Q194" s="928"/>
      <c r="R194" s="928"/>
      <c r="S194" s="928"/>
      <c r="AH194" s="1494" t="s">
        <v>678</v>
      </c>
      <c r="AI194" s="1494"/>
      <c r="BC194" t="s">
        <v>1475</v>
      </c>
      <c r="BN194" s="23" t="s">
        <v>701</v>
      </c>
      <c r="BT194" t="s">
        <v>740</v>
      </c>
    </row>
    <row r="195" spans="1:74" ht="12.95" customHeight="1">
      <c r="C195" s="21"/>
      <c r="D195" t="s">
        <v>332</v>
      </c>
      <c r="T195" s="1494" t="s">
        <v>678</v>
      </c>
      <c r="U195" s="1494"/>
      <c r="W195" t="s">
        <v>694</v>
      </c>
      <c r="AH195" s="1494">
        <v>51</v>
      </c>
      <c r="AI195" s="1494"/>
      <c r="BC195" t="s">
        <v>2048</v>
      </c>
      <c r="BN195" s="23" t="s">
        <v>243</v>
      </c>
      <c r="BT195" t="s">
        <v>741</v>
      </c>
    </row>
    <row r="196" spans="1:74" ht="12.95" customHeight="1">
      <c r="C196" s="21"/>
      <c r="D196" t="s">
        <v>387</v>
      </c>
      <c r="T196" s="1434" t="s">
        <v>678</v>
      </c>
      <c r="U196" s="1434"/>
      <c r="W196" t="s">
        <v>695</v>
      </c>
      <c r="AH196" s="1494">
        <v>79</v>
      </c>
      <c r="AI196" s="1494"/>
      <c r="BN196" s="23" t="s">
        <v>244</v>
      </c>
      <c r="BT196" t="s">
        <v>69</v>
      </c>
    </row>
    <row r="197" spans="1:74" ht="12.95" customHeight="1">
      <c r="C197" s="21"/>
      <c r="D197" s="3" t="s">
        <v>169</v>
      </c>
      <c r="T197" s="1434" t="s">
        <v>678</v>
      </c>
      <c r="U197" s="1434"/>
      <c r="W197" t="s">
        <v>696</v>
      </c>
      <c r="AH197" s="1494">
        <v>39</v>
      </c>
      <c r="AI197" s="1494"/>
      <c r="BC197" t="s">
        <v>308</v>
      </c>
      <c r="BN197" s="23" t="s">
        <v>245</v>
      </c>
      <c r="BT197" t="s">
        <v>70</v>
      </c>
    </row>
    <row r="198" spans="1:74" s="14" customFormat="1" ht="12.95" customHeight="1">
      <c r="A198"/>
      <c r="B198"/>
      <c r="C198" s="21"/>
      <c r="D198" s="3" t="s">
        <v>1765</v>
      </c>
      <c r="E198"/>
      <c r="F198"/>
      <c r="G198"/>
      <c r="H198"/>
      <c r="I198"/>
      <c r="J198"/>
      <c r="K198"/>
      <c r="L198"/>
      <c r="M198"/>
      <c r="N198"/>
      <c r="O198"/>
      <c r="P198"/>
      <c r="Q198"/>
      <c r="R198"/>
      <c r="S198"/>
      <c r="T198" s="1434"/>
      <c r="U198" s="1434"/>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2.95" customHeight="1">
      <c r="A199"/>
      <c r="B199"/>
      <c r="C199" s="21"/>
      <c r="D199" s="118" t="s">
        <v>2530</v>
      </c>
      <c r="E199"/>
      <c r="F199"/>
      <c r="G199"/>
      <c r="H199"/>
      <c r="I199"/>
      <c r="J199"/>
      <c r="K199"/>
      <c r="L199"/>
      <c r="M199"/>
      <c r="N199"/>
      <c r="O199"/>
      <c r="P199"/>
      <c r="Q199"/>
      <c r="R199"/>
      <c r="S199"/>
      <c r="T199"/>
      <c r="U199"/>
      <c r="V199"/>
      <c r="W199"/>
      <c r="Z199" s="1494" t="s">
        <v>678</v>
      </c>
      <c r="AA199" s="1494"/>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2.95"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2.95"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2.95" customHeight="1">
      <c r="C202" s="21"/>
      <c r="D202" s="546"/>
      <c r="BC202" t="s">
        <v>1092</v>
      </c>
      <c r="BD202" s="469"/>
      <c r="BN202" s="23" t="s">
        <v>711</v>
      </c>
      <c r="BO202" s="14"/>
      <c r="BP202" s="32"/>
      <c r="BQ202" s="32"/>
      <c r="BR202" s="32"/>
      <c r="BS202" s="32"/>
      <c r="BT202" s="32" t="s">
        <v>196</v>
      </c>
    </row>
    <row r="203" spans="1:74" ht="12.95" customHeight="1">
      <c r="A203" s="2" t="s">
        <v>595</v>
      </c>
      <c r="C203" s="2" t="s">
        <v>136</v>
      </c>
      <c r="BC203" t="s">
        <v>1093</v>
      </c>
      <c r="BN203" s="23" t="s">
        <v>712</v>
      </c>
      <c r="BO203" s="14"/>
      <c r="BP203" s="32"/>
      <c r="BQ203" s="32"/>
      <c r="BR203" s="32"/>
      <c r="BS203" s="32"/>
      <c r="BT203" s="32" t="s">
        <v>197</v>
      </c>
    </row>
    <row r="204" spans="1:74" ht="12.95" customHeight="1">
      <c r="D204" s="1536" t="s">
        <v>386</v>
      </c>
      <c r="E204" s="1536"/>
      <c r="F204" s="1536"/>
      <c r="G204" s="1536"/>
      <c r="H204" s="1536"/>
      <c r="I204" s="1536"/>
      <c r="J204" s="1536"/>
      <c r="K204" s="1536"/>
      <c r="L204" s="1536"/>
      <c r="M204" s="1536"/>
      <c r="P204" s="1562">
        <f>M26</f>
        <v>4131173</v>
      </c>
      <c r="Q204" s="1563"/>
      <c r="R204" s="1563"/>
      <c r="S204" s="1563"/>
      <c r="T204" s="1563"/>
      <c r="U204" s="1563"/>
      <c r="Z204" s="1579" t="s">
        <v>2628</v>
      </c>
      <c r="AA204" s="1579"/>
      <c r="AB204" s="1579"/>
      <c r="AC204" s="1579"/>
      <c r="AD204" s="1579"/>
      <c r="AE204" s="1579"/>
      <c r="AF204" s="1579"/>
      <c r="BC204" t="s">
        <v>619</v>
      </c>
      <c r="BN204" s="23" t="s">
        <v>713</v>
      </c>
      <c r="BT204" s="32" t="s">
        <v>198</v>
      </c>
      <c r="BU204" s="14"/>
    </row>
    <row r="205" spans="1:74" ht="12.95" customHeight="1">
      <c r="C205" s="21"/>
      <c r="D205" s="1578" t="s">
        <v>1356</v>
      </c>
      <c r="E205" s="1536"/>
      <c r="F205" s="1536"/>
      <c r="G205" s="1536"/>
      <c r="H205" s="1536"/>
      <c r="I205" s="1536"/>
      <c r="J205" s="1536"/>
      <c r="K205" s="1536"/>
      <c r="L205" s="1536"/>
      <c r="M205" s="1536"/>
      <c r="P205" s="1563">
        <f>M27</f>
        <v>29208650</v>
      </c>
      <c r="Q205" s="1563"/>
      <c r="R205" s="1563"/>
      <c r="S205" s="1563"/>
      <c r="T205" s="1563"/>
      <c r="U205" s="1563"/>
      <c r="V205" s="28"/>
      <c r="W205" s="3" t="s">
        <v>1910</v>
      </c>
      <c r="Z205" s="1579"/>
      <c r="AA205" s="1579"/>
      <c r="AB205" s="1579"/>
      <c r="AC205" s="1579"/>
      <c r="AD205" s="1579"/>
      <c r="AE205" s="1579"/>
      <c r="AF205" s="1579"/>
      <c r="AG205" t="s">
        <v>1357</v>
      </c>
      <c r="AP205" s="1494" t="s">
        <v>678</v>
      </c>
      <c r="AQ205" s="1494"/>
      <c r="BC205" t="s">
        <v>1051</v>
      </c>
      <c r="BN205" s="23" t="s">
        <v>109</v>
      </c>
      <c r="BT205" s="32" t="s">
        <v>174</v>
      </c>
      <c r="BU205" s="14"/>
    </row>
    <row r="206" spans="1:74" ht="12.95" customHeight="1">
      <c r="D206" s="29"/>
      <c r="E206" s="29"/>
      <c r="F206" s="29"/>
      <c r="G206" s="29"/>
      <c r="H206" s="29"/>
      <c r="I206" s="29"/>
      <c r="J206" s="29"/>
      <c r="K206" s="29"/>
      <c r="L206" s="29"/>
      <c r="M206" s="29"/>
      <c r="N206" s="29"/>
      <c r="O206" s="29"/>
      <c r="P206" s="29"/>
      <c r="Z206" s="1580"/>
      <c r="AA206" s="1580"/>
      <c r="AB206" s="1580"/>
      <c r="AC206" s="1580"/>
      <c r="AD206" s="1580"/>
      <c r="AE206" s="1580"/>
      <c r="AF206" s="1580"/>
      <c r="BC206" s="470" t="s">
        <v>1094</v>
      </c>
      <c r="BN206" s="23" t="s">
        <v>110</v>
      </c>
      <c r="BT206" s="32" t="s">
        <v>199</v>
      </c>
      <c r="BU206" s="14"/>
    </row>
    <row r="207" spans="1:74" ht="12.95" customHeight="1">
      <c r="A207" s="2" t="s">
        <v>598</v>
      </c>
      <c r="C207" s="2" t="s">
        <v>560</v>
      </c>
      <c r="BC207" s="3" t="s">
        <v>2570</v>
      </c>
      <c r="BN207" s="23" t="s">
        <v>45</v>
      </c>
      <c r="BT207" s="32" t="s">
        <v>200</v>
      </c>
    </row>
    <row r="208" spans="1:74" ht="12.95" customHeight="1">
      <c r="C208" s="21"/>
      <c r="D208" s="1509" t="s">
        <v>2800</v>
      </c>
      <c r="E208" s="1509"/>
      <c r="F208" s="1509"/>
      <c r="G208" s="1509"/>
      <c r="H208" s="1509"/>
      <c r="I208" s="1509"/>
      <c r="J208" s="1509"/>
      <c r="K208" s="1509"/>
      <c r="L208" s="1509"/>
      <c r="M208" s="1509"/>
      <c r="BC208" t="s">
        <v>1095</v>
      </c>
      <c r="BN208" s="23" t="s">
        <v>46</v>
      </c>
      <c r="BT208" s="32" t="s">
        <v>201</v>
      </c>
    </row>
    <row r="209" spans="1:72" ht="12.95" customHeight="1">
      <c r="BC209" t="s">
        <v>668</v>
      </c>
      <c r="BN209" s="23" t="s">
        <v>47</v>
      </c>
      <c r="BT209" s="32" t="s">
        <v>202</v>
      </c>
    </row>
    <row r="210" spans="1:72" ht="12.95" customHeight="1">
      <c r="A210" s="2" t="s">
        <v>599</v>
      </c>
      <c r="C210" s="2" t="s">
        <v>389</v>
      </c>
      <c r="BN210" s="23" t="s">
        <v>48</v>
      </c>
      <c r="BT210" s="32" t="s">
        <v>203</v>
      </c>
    </row>
    <row r="211" spans="1:72" ht="12.95" customHeight="1">
      <c r="C211" s="21"/>
      <c r="D211" s="1509" t="s">
        <v>1066</v>
      </c>
      <c r="E211" s="1509"/>
      <c r="F211" s="1509"/>
      <c r="G211" s="1509"/>
      <c r="H211" s="1509"/>
      <c r="I211" s="1509"/>
      <c r="J211" s="1509"/>
      <c r="K211" s="1509"/>
      <c r="L211" s="1509"/>
      <c r="M211" s="1509"/>
      <c r="BN211" s="23" t="s">
        <v>129</v>
      </c>
      <c r="BT211" s="32" t="s">
        <v>130</v>
      </c>
    </row>
    <row r="212" spans="1:72" ht="12.95" customHeight="1">
      <c r="C212" s="21"/>
      <c r="D212" t="s">
        <v>1353</v>
      </c>
      <c r="Y212" s="1494"/>
      <c r="Z212" s="1494"/>
      <c r="AB212" s="1566">
        <f>IFERROR(Y212/AG440,"")</f>
        <v>0</v>
      </c>
      <c r="AC212" s="1567"/>
      <c r="BC212" t="s">
        <v>308</v>
      </c>
      <c r="BI212" t="s">
        <v>1291</v>
      </c>
      <c r="BN212" s="23" t="s">
        <v>49</v>
      </c>
      <c r="BT212" s="32" t="s">
        <v>204</v>
      </c>
    </row>
    <row r="213" spans="1:72" ht="12.95" customHeight="1">
      <c r="D213" s="1189" t="s">
        <v>1741</v>
      </c>
      <c r="BC213" t="s">
        <v>535</v>
      </c>
      <c r="BI213" t="s">
        <v>2628</v>
      </c>
      <c r="BN213" s="23" t="s">
        <v>50</v>
      </c>
      <c r="BT213" s="32" t="s">
        <v>205</v>
      </c>
    </row>
    <row r="214" spans="1:72" ht="12.95" customHeight="1">
      <c r="D214" s="1558" t="s">
        <v>600</v>
      </c>
      <c r="E214" s="1558"/>
      <c r="F214" s="1558"/>
      <c r="G214" s="1558"/>
      <c r="H214" s="1558"/>
      <c r="I214" s="1558"/>
      <c r="J214" s="1558"/>
      <c r="K214" s="1558"/>
      <c r="L214" s="1558"/>
      <c r="M214" s="1558"/>
      <c r="N214" s="1558"/>
      <c r="O214" s="1558"/>
      <c r="P214" s="1558"/>
      <c r="Q214" s="1558"/>
      <c r="R214" s="1558"/>
      <c r="S214" s="1558"/>
      <c r="T214" s="1558"/>
      <c r="U214" s="1558"/>
      <c r="V214" s="1558"/>
      <c r="W214" s="1558"/>
      <c r="X214" s="1558"/>
      <c r="Y214" s="1558"/>
      <c r="Z214" s="1558"/>
      <c r="AU214" s="21"/>
      <c r="AV214" s="21"/>
      <c r="AW214" s="21"/>
      <c r="AX214" s="21"/>
      <c r="AY214" s="21"/>
      <c r="BC214" t="s">
        <v>539</v>
      </c>
      <c r="BI214" t="s">
        <v>2634</v>
      </c>
      <c r="BN214" s="23" t="s">
        <v>327</v>
      </c>
      <c r="BT214" s="32" t="s">
        <v>206</v>
      </c>
    </row>
    <row r="215" spans="1:72" ht="12.95" customHeight="1">
      <c r="D215" s="3" t="s">
        <v>1766</v>
      </c>
      <c r="Z215" s="40"/>
      <c r="AB215" s="1511"/>
      <c r="AC215" s="1511"/>
      <c r="AD215" s="1511"/>
      <c r="AE215" s="1511"/>
      <c r="AF215" s="1511"/>
      <c r="AG215" s="1511"/>
      <c r="AH215" s="1511"/>
      <c r="AI215" s="1511"/>
      <c r="AJ215" s="1511"/>
      <c r="AK215" s="1511"/>
      <c r="AL215" s="1511"/>
      <c r="AM215" s="21"/>
      <c r="AN215" s="21"/>
      <c r="AO215" s="21"/>
      <c r="AP215" s="21"/>
      <c r="AQ215" s="21"/>
      <c r="AR215" s="21"/>
      <c r="AS215" s="21"/>
      <c r="AT215" s="21"/>
      <c r="AU215" s="21"/>
      <c r="AV215" s="21"/>
      <c r="AW215" s="21"/>
      <c r="AX215" s="21"/>
      <c r="AY215" s="21"/>
      <c r="BC215" t="s">
        <v>536</v>
      </c>
      <c r="BI215" t="s">
        <v>2629</v>
      </c>
    </row>
    <row r="216" spans="1:72" ht="12.95" customHeight="1">
      <c r="D216" s="3" t="s">
        <v>1764</v>
      </c>
      <c r="Z216" s="40"/>
      <c r="AB216" s="1511"/>
      <c r="AC216" s="1511"/>
      <c r="AD216" s="1511"/>
      <c r="AE216" s="1511"/>
      <c r="AF216" s="1511"/>
      <c r="AG216" s="1511"/>
      <c r="AH216" s="1511"/>
      <c r="AI216" s="1511"/>
      <c r="AJ216" s="1511"/>
      <c r="AK216" s="1511"/>
      <c r="AL216" s="1511"/>
      <c r="AM216" s="21"/>
      <c r="AN216" s="21"/>
      <c r="AO216" s="21"/>
      <c r="AP216" s="21"/>
      <c r="AQ216" s="21"/>
      <c r="AR216" s="21"/>
      <c r="AS216" s="21"/>
      <c r="AT216" s="21"/>
      <c r="AU216" s="21"/>
      <c r="AV216" s="21"/>
      <c r="AW216" s="21"/>
      <c r="AX216" s="21"/>
      <c r="AY216" s="21"/>
      <c r="BC216" t="s">
        <v>575</v>
      </c>
      <c r="BI216" t="s">
        <v>2630</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row>
    <row r="218" spans="1:72" ht="12.95" customHeight="1">
      <c r="A218" s="2" t="s">
        <v>601</v>
      </c>
      <c r="C218" s="2" t="s">
        <v>1329</v>
      </c>
      <c r="D218" s="28"/>
      <c r="BC218" t="s">
        <v>538</v>
      </c>
    </row>
    <row r="219" spans="1:72" ht="12.95" customHeight="1">
      <c r="A219" s="2"/>
      <c r="C219" s="2"/>
      <c r="D219" s="4" t="s">
        <v>1009</v>
      </c>
      <c r="AZ219" s="3"/>
      <c r="BA219" s="3"/>
      <c r="BC219" t="s">
        <v>378</v>
      </c>
    </row>
    <row r="220" spans="1:72" ht="12.95" customHeight="1">
      <c r="A220" s="2"/>
      <c r="C220" s="2"/>
      <c r="D220" s="1509" t="s">
        <v>620</v>
      </c>
      <c r="E220" s="1509"/>
      <c r="F220" s="1509"/>
      <c r="G220" s="1509"/>
      <c r="H220" s="1509"/>
      <c r="I220" s="1509"/>
      <c r="J220" s="1509"/>
      <c r="K220" s="1509"/>
      <c r="L220" s="1509"/>
      <c r="M220" s="1509"/>
      <c r="N220" s="1509"/>
      <c r="O220" s="1509"/>
      <c r="P220" s="1509"/>
      <c r="Q220" s="1509"/>
      <c r="R220" s="1509"/>
      <c r="S220" s="1509"/>
      <c r="T220" s="1509"/>
      <c r="U220" s="1509"/>
      <c r="V220" s="1509"/>
      <c r="W220" s="1509"/>
      <c r="X220" s="1509"/>
      <c r="Y220" s="1509"/>
      <c r="Z220" s="1509"/>
      <c r="BA220" s="3"/>
      <c r="BC220" t="s">
        <v>301</v>
      </c>
    </row>
    <row r="221" spans="1:72" ht="12.95" customHeight="1">
      <c r="A221" s="2"/>
      <c r="B221" s="14"/>
      <c r="C221" s="2"/>
      <c r="AU221" s="95"/>
      <c r="AV221" s="95"/>
      <c r="AW221" s="95"/>
      <c r="AX221" s="95"/>
      <c r="AY221" s="95"/>
      <c r="BA221" s="3"/>
    </row>
    <row r="222" spans="1:72" ht="12.95" customHeight="1">
      <c r="A222" s="1573" t="s">
        <v>549</v>
      </c>
      <c r="B222" s="1573"/>
      <c r="C222" s="1573"/>
      <c r="D222" s="1573"/>
      <c r="E222" s="1573"/>
      <c r="F222" s="1573"/>
      <c r="G222" s="1573"/>
      <c r="H222" s="1573"/>
      <c r="I222" s="1573"/>
      <c r="J222" s="1573"/>
      <c r="K222" s="1573"/>
      <c r="L222" s="1573"/>
      <c r="M222" s="1573"/>
      <c r="N222" s="1573"/>
      <c r="O222" s="1573"/>
      <c r="P222" s="1573"/>
      <c r="Q222" s="1573"/>
      <c r="R222" s="1573"/>
      <c r="S222" s="1573"/>
      <c r="T222" s="1573"/>
      <c r="U222" s="1573"/>
      <c r="V222" s="1573"/>
      <c r="W222" s="1573"/>
      <c r="X222" s="1573"/>
      <c r="Y222" s="1573"/>
      <c r="Z222" s="1573"/>
      <c r="AA222" s="1573"/>
      <c r="AB222" s="1573"/>
      <c r="AC222" s="1573"/>
      <c r="AD222" s="1573"/>
      <c r="AE222" s="1573"/>
      <c r="AF222" s="1573"/>
      <c r="AG222" s="1573"/>
      <c r="AH222" s="1573"/>
      <c r="AI222" s="1573"/>
      <c r="AJ222" s="1573"/>
      <c r="AK222" s="1573"/>
      <c r="AL222" s="1573"/>
      <c r="AM222" s="1573"/>
      <c r="AN222" s="1573"/>
      <c r="AO222" s="1573"/>
      <c r="AP222" s="1573"/>
      <c r="AQ222" s="1573"/>
      <c r="AR222" s="1573"/>
      <c r="AS222" s="1573"/>
      <c r="AT222" s="1573"/>
      <c r="AU222" s="95"/>
      <c r="AV222" s="95"/>
      <c r="AW222" s="95"/>
      <c r="AX222" s="95"/>
      <c r="AY222" s="95"/>
      <c r="AZ222" s="3"/>
      <c r="BA222" s="3"/>
      <c r="BP222" s="34"/>
    </row>
    <row r="223" spans="1:72" ht="12.95" customHeight="1">
      <c r="A223" s="1573"/>
      <c r="B223" s="1573"/>
      <c r="C223" s="1573"/>
      <c r="D223" s="1573"/>
      <c r="E223" s="1573"/>
      <c r="F223" s="1573"/>
      <c r="G223" s="1573"/>
      <c r="H223" s="1573"/>
      <c r="I223" s="1573"/>
      <c r="J223" s="1573"/>
      <c r="K223" s="1573"/>
      <c r="L223" s="1573"/>
      <c r="M223" s="1573"/>
      <c r="N223" s="1573"/>
      <c r="O223" s="1573"/>
      <c r="P223" s="1573"/>
      <c r="Q223" s="1573"/>
      <c r="R223" s="1573"/>
      <c r="S223" s="1573"/>
      <c r="T223" s="1573"/>
      <c r="U223" s="1573"/>
      <c r="V223" s="1573"/>
      <c r="W223" s="1573"/>
      <c r="X223" s="1573"/>
      <c r="Y223" s="1573"/>
      <c r="Z223" s="1573"/>
      <c r="AA223" s="1573"/>
      <c r="AB223" s="1573"/>
      <c r="AC223" s="1573"/>
      <c r="AD223" s="1573"/>
      <c r="AE223" s="1573"/>
      <c r="AF223" s="1573"/>
      <c r="AG223" s="1573"/>
      <c r="AH223" s="1573"/>
      <c r="AI223" s="1573"/>
      <c r="AJ223" s="1573"/>
      <c r="AK223" s="1573"/>
      <c r="AL223" s="1573"/>
      <c r="AM223" s="1573"/>
      <c r="AN223" s="1573"/>
      <c r="AO223" s="1573"/>
      <c r="AP223" s="1573"/>
      <c r="AQ223" s="1573"/>
      <c r="AR223" s="1573"/>
      <c r="AS223" s="1573"/>
      <c r="AT223" s="1573"/>
      <c r="BA223" s="3"/>
      <c r="BB223" s="3"/>
      <c r="BQ223" s="34"/>
    </row>
    <row r="224" spans="1:72" ht="12.95" customHeight="1">
      <c r="AZ224" s="4"/>
      <c r="BA224" s="3"/>
      <c r="BB224" s="3"/>
      <c r="BQ224" s="34"/>
    </row>
    <row r="225" spans="1:69" ht="12.95" customHeight="1">
      <c r="A225" s="2" t="s">
        <v>320</v>
      </c>
      <c r="B225" s="2"/>
      <c r="C225" s="2" t="s">
        <v>2399</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94" t="s">
        <v>600</v>
      </c>
      <c r="AJ226" s="1494"/>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2.95"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94" t="s">
        <v>554</v>
      </c>
      <c r="AJ227" s="1494"/>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94" t="s">
        <v>600</v>
      </c>
      <c r="AJ228" s="1494"/>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94" t="s">
        <v>600</v>
      </c>
      <c r="AJ229" s="1494"/>
      <c r="AL229" s="3"/>
      <c r="AM229" s="3"/>
      <c r="AN229" s="3"/>
      <c r="AO229" s="3"/>
      <c r="AP229" s="3"/>
      <c r="AQ229" s="3"/>
      <c r="AR229" s="3"/>
      <c r="AS229" s="3"/>
      <c r="AT229" s="3"/>
      <c r="AU229" s="3"/>
      <c r="AV229" s="3"/>
      <c r="AW229" s="3"/>
      <c r="AX229" s="3"/>
      <c r="AY229" s="3"/>
      <c r="BA229" s="3"/>
      <c r="BB229" s="218" t="s">
        <v>547</v>
      </c>
      <c r="BG229" s="259">
        <f>IF(AND(AND($M$249="for profit",$M$257="nonprofit",$M$265="(select one)")),2,0)</f>
        <v>2</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2.95" customHeight="1">
      <c r="A231" s="2" t="s">
        <v>585</v>
      </c>
      <c r="B231" s="4"/>
      <c r="C231" s="2" t="s">
        <v>2400</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479</v>
      </c>
      <c r="E232" s="4"/>
      <c r="F232" s="4"/>
      <c r="G232" s="4"/>
      <c r="H232" s="4"/>
      <c r="I232" s="4"/>
      <c r="J232" s="4"/>
      <c r="K232" s="4"/>
      <c r="M232" s="1577" t="str">
        <f>H16</f>
        <v>Compass for Affordable Housing</v>
      </c>
      <c r="N232" s="1577"/>
      <c r="O232" s="1577"/>
      <c r="P232" s="1577"/>
      <c r="Q232" s="1577"/>
      <c r="R232" s="1577"/>
      <c r="S232" s="1577"/>
      <c r="T232" s="1577"/>
      <c r="U232" s="1577"/>
      <c r="V232" s="1577"/>
      <c r="W232" s="1577"/>
      <c r="X232" s="1577"/>
      <c r="Y232" s="1577"/>
      <c r="Z232" s="1577"/>
      <c r="AA232" s="1577"/>
      <c r="AB232" s="1577"/>
      <c r="AC232" s="1577"/>
      <c r="AD232" s="1577"/>
      <c r="AE232" s="1577"/>
      <c r="AF232" s="1577"/>
      <c r="AG232" s="1577"/>
      <c r="AH232" s="1577"/>
      <c r="AI232" s="1577"/>
      <c r="AJ232" s="1577"/>
      <c r="AK232" s="1577"/>
      <c r="AZ232" s="4"/>
      <c r="BA232" s="3"/>
      <c r="BB232" s="219" t="s">
        <v>547</v>
      </c>
      <c r="BG232" s="259">
        <f>IF(AND(AND($M$249="nonprofit",$M$257="nonprofit",$M$265="for profit")),2,0)</f>
        <v>0</v>
      </c>
      <c r="BQ232" s="34"/>
    </row>
    <row r="233" spans="1:69" ht="12.95" customHeight="1">
      <c r="D233" s="4" t="s">
        <v>85</v>
      </c>
      <c r="E233" s="4"/>
      <c r="F233" s="4"/>
      <c r="G233" s="4"/>
      <c r="H233" s="4"/>
      <c r="I233" s="4"/>
      <c r="J233" s="4"/>
      <c r="K233" s="4"/>
      <c r="M233" s="1554" t="s">
        <v>2650</v>
      </c>
      <c r="N233" s="1509"/>
      <c r="O233" s="1509"/>
      <c r="P233" s="1509"/>
      <c r="Q233" s="1509"/>
      <c r="R233" s="1509"/>
      <c r="S233" s="1509"/>
      <c r="T233" s="1509"/>
      <c r="U233" s="1509"/>
      <c r="V233" s="1509"/>
      <c r="W233" s="1509"/>
      <c r="X233" s="1509"/>
      <c r="Y233" s="1509"/>
      <c r="Z233" s="1509"/>
      <c r="AA233" s="1509"/>
      <c r="AB233" s="1509"/>
      <c r="AC233" s="1509"/>
      <c r="AD233" s="1509"/>
      <c r="AE233" s="1509"/>
      <c r="BB233" s="219" t="s">
        <v>547</v>
      </c>
      <c r="BG233" s="259">
        <f>IF(AND(AND($M$249="nonprofit",$M$257="for profit",$M$265="nonprofit")),2,0)</f>
        <v>0</v>
      </c>
    </row>
    <row r="234" spans="1:69" ht="12.95" customHeight="1">
      <c r="D234" s="4" t="s">
        <v>589</v>
      </c>
      <c r="E234" s="4"/>
      <c r="M234" s="1554" t="s">
        <v>739</v>
      </c>
      <c r="N234" s="1509"/>
      <c r="O234" s="1509"/>
      <c r="P234" s="1509"/>
      <c r="Q234" s="1509"/>
      <c r="R234" s="1509"/>
      <c r="S234" s="1509"/>
      <c r="T234" s="1509"/>
      <c r="V234" s="33" t="s">
        <v>86</v>
      </c>
      <c r="W234" s="1402"/>
      <c r="X234" s="1402"/>
      <c r="Y234" s="4" t="s">
        <v>592</v>
      </c>
      <c r="AC234" s="1509">
        <v>92128</v>
      </c>
      <c r="AD234" s="1509"/>
      <c r="AE234" s="1509"/>
      <c r="AU234" s="4"/>
      <c r="AV234" s="4"/>
      <c r="AW234" s="4"/>
      <c r="AX234" s="4"/>
      <c r="AY234" s="4"/>
      <c r="AZ234" s="4"/>
      <c r="BB234" s="219" t="s">
        <v>547</v>
      </c>
      <c r="BG234" s="258">
        <f>IF(AND(AND($M$249="for profit",$M$257="nonprofit",$M$265="nonprofit")),2,0)</f>
        <v>0</v>
      </c>
      <c r="BO234" s="34"/>
    </row>
    <row r="235" spans="1:69" ht="12.95" customHeight="1">
      <c r="D235" s="4" t="s">
        <v>87</v>
      </c>
      <c r="E235" s="4"/>
      <c r="F235" s="4"/>
      <c r="G235" s="4"/>
      <c r="H235" s="4"/>
      <c r="I235" s="4"/>
      <c r="J235" s="4"/>
      <c r="K235" s="19"/>
      <c r="M235" s="1554" t="s">
        <v>2651</v>
      </c>
      <c r="N235" s="1509"/>
      <c r="O235" s="1509"/>
      <c r="P235" s="1509"/>
      <c r="Q235" s="1509"/>
      <c r="R235" s="1509"/>
      <c r="S235" s="1509"/>
      <c r="T235" s="1509"/>
      <c r="U235" s="1509"/>
      <c r="V235" s="1509"/>
      <c r="W235" s="1509"/>
      <c r="X235" s="1509"/>
      <c r="Y235" s="1509"/>
      <c r="Z235" s="1509"/>
      <c r="AA235" s="1509"/>
      <c r="AB235" s="1509"/>
      <c r="AC235" s="1509"/>
      <c r="AD235" s="1509"/>
      <c r="AE235" s="1509"/>
      <c r="AI235" s="4"/>
      <c r="AJ235" s="4"/>
      <c r="AK235" s="4"/>
      <c r="AL235" s="4"/>
      <c r="AM235" s="4"/>
      <c r="AN235" s="4"/>
      <c r="AO235" s="4"/>
      <c r="AP235" s="4"/>
      <c r="AQ235" s="4"/>
      <c r="AR235" s="4"/>
      <c r="AS235" s="4"/>
      <c r="AT235" s="4"/>
      <c r="BB235" s="219"/>
      <c r="BG235" s="218"/>
    </row>
    <row r="236" spans="1:69" ht="12.95" customHeight="1">
      <c r="D236" s="4" t="s">
        <v>88</v>
      </c>
      <c r="E236" s="4"/>
      <c r="F236" s="4"/>
      <c r="M236" s="1510" t="s">
        <v>2652</v>
      </c>
      <c r="N236" s="1491"/>
      <c r="O236" s="1491"/>
      <c r="P236" s="1491"/>
      <c r="Q236" s="1491"/>
      <c r="R236" s="1491"/>
      <c r="S236" s="4" t="s">
        <v>207</v>
      </c>
      <c r="T236" s="4"/>
      <c r="U236" s="1402"/>
      <c r="V236" s="1402"/>
      <c r="W236" s="1402"/>
      <c r="X236" s="4" t="s">
        <v>89</v>
      </c>
      <c r="Z236" s="1491"/>
      <c r="AA236" s="1491"/>
      <c r="AB236" s="1491"/>
      <c r="AC236" s="1491"/>
      <c r="AD236" s="1491"/>
      <c r="AE236" s="1491"/>
      <c r="AU236" s="4"/>
      <c r="AV236" s="4"/>
      <c r="AW236" s="4"/>
      <c r="AX236" s="4"/>
      <c r="AY236" s="4"/>
      <c r="AZ236" s="4"/>
      <c r="BB236" s="218" t="s">
        <v>546</v>
      </c>
      <c r="BG236" s="259">
        <f>IF(AND(AND($M$249="nonprofit",$M$257="nonprofit",$M$265="(select one)")),1,0)</f>
        <v>0</v>
      </c>
    </row>
    <row r="237" spans="1:69" ht="12.95" customHeight="1">
      <c r="D237" s="4" t="s">
        <v>90</v>
      </c>
      <c r="E237" s="4"/>
      <c r="F237" s="4"/>
      <c r="M237" s="1550" t="s">
        <v>2653</v>
      </c>
      <c r="N237" s="1550"/>
      <c r="O237" s="1550"/>
      <c r="P237" s="1550"/>
      <c r="Q237" s="1550"/>
      <c r="R237" s="1550"/>
      <c r="S237" s="1550"/>
      <c r="T237" s="1550"/>
      <c r="U237" s="1550"/>
      <c r="V237" s="1550"/>
      <c r="W237" s="1550"/>
      <c r="X237" s="1550"/>
      <c r="Y237" s="1550"/>
      <c r="Z237" s="1550"/>
      <c r="AA237" s="1550"/>
      <c r="AB237" s="1550"/>
      <c r="AC237" s="1550"/>
      <c r="AD237" s="1550"/>
      <c r="AE237" s="1550"/>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2.95" customHeight="1">
      <c r="A238" s="2" t="s">
        <v>595</v>
      </c>
      <c r="C238" s="2" t="s">
        <v>534</v>
      </c>
      <c r="M238" s="1404" t="s">
        <v>378</v>
      </c>
      <c r="N238" s="1404"/>
      <c r="O238" s="1404"/>
      <c r="P238" s="1404"/>
      <c r="Q238" s="1404"/>
      <c r="R238" s="1404"/>
      <c r="S238" s="1404"/>
      <c r="T238" s="1404"/>
      <c r="U238" s="218" t="s">
        <v>922</v>
      </c>
      <c r="V238" s="218"/>
      <c r="W238" s="218"/>
      <c r="X238" s="218"/>
      <c r="Y238" s="218"/>
      <c r="Z238" s="218"/>
      <c r="AA238" s="1574" t="s">
        <v>600</v>
      </c>
      <c r="AB238" s="1575"/>
      <c r="AC238" s="1575"/>
      <c r="AD238" s="1575"/>
      <c r="AE238" s="1575"/>
      <c r="AF238" s="1575"/>
      <c r="AG238" s="1575"/>
      <c r="AH238" s="1575"/>
      <c r="AI238" s="1575"/>
      <c r="AJ238" s="1575"/>
      <c r="AK238" s="1575"/>
      <c r="AL238" s="3"/>
      <c r="AM238" s="3"/>
      <c r="AN238" s="3"/>
      <c r="AO238" s="3"/>
      <c r="AP238" s="3"/>
      <c r="AQ238" s="3"/>
      <c r="AR238" s="3"/>
      <c r="AS238" s="3"/>
      <c r="AT238" s="3"/>
      <c r="AU238" s="3"/>
      <c r="AV238" s="3"/>
      <c r="AW238" s="3"/>
      <c r="AX238" s="3"/>
      <c r="AY238" s="3"/>
      <c r="BB238" s="218" t="s">
        <v>546</v>
      </c>
      <c r="BG238" s="259">
        <f>IF(AND(AND($M$249="nonprofit",$M$257="(select one)",$M$265="(select one)")),1,0)</f>
        <v>0</v>
      </c>
      <c r="BN238" s="34"/>
    </row>
    <row r="239" spans="1:69" ht="12.95" customHeight="1">
      <c r="D239" t="s">
        <v>540</v>
      </c>
      <c r="M239" s="1398" t="s">
        <v>600</v>
      </c>
      <c r="N239" s="1398"/>
      <c r="O239" s="1398"/>
      <c r="P239" s="1398"/>
      <c r="Q239" s="1398"/>
      <c r="R239" s="1398"/>
      <c r="S239" s="1398"/>
      <c r="T239" s="1398"/>
      <c r="U239" s="1398"/>
      <c r="V239" s="1398"/>
      <c r="W239" s="1398"/>
      <c r="X239" s="1398"/>
      <c r="Y239" s="1398"/>
      <c r="Z239" s="1398"/>
      <c r="AA239" s="1398"/>
      <c r="AB239" s="1398"/>
      <c r="AC239" s="1398"/>
      <c r="AD239" s="1398"/>
      <c r="AE239" s="1398"/>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2.95" customHeight="1">
      <c r="D240" s="4"/>
      <c r="BB240" s="218" t="s">
        <v>890</v>
      </c>
      <c r="BG240" s="259">
        <f>IF(AND(AND($M$249="for profit",$M$257="for profit",$M$265="for profit")),3,0)</f>
        <v>0</v>
      </c>
    </row>
    <row r="241" spans="1:71" ht="12.95"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482</v>
      </c>
      <c r="D243" s="4" t="s">
        <v>541</v>
      </c>
      <c r="E243" s="4"/>
      <c r="F243" s="4"/>
      <c r="G243" s="4"/>
      <c r="H243" s="4"/>
      <c r="I243" s="4"/>
      <c r="J243" s="4"/>
      <c r="K243" s="4"/>
      <c r="L243" s="4"/>
      <c r="M243" s="1552" t="s">
        <v>2654</v>
      </c>
      <c r="N243" s="1553"/>
      <c r="O243" s="1553"/>
      <c r="P243" s="1553"/>
      <c r="Q243" s="1553"/>
      <c r="R243" s="1553"/>
      <c r="S243" s="1553"/>
      <c r="T243" s="1553"/>
      <c r="U243" s="1553"/>
      <c r="V243" s="1553"/>
      <c r="W243" s="1553"/>
      <c r="X243" s="1553"/>
      <c r="Y243" s="1553"/>
      <c r="Z243" s="1553"/>
      <c r="AA243" s="1553"/>
      <c r="AB243" s="1553"/>
      <c r="AC243" s="1553"/>
      <c r="AD243" s="1553"/>
      <c r="AE243" s="1553"/>
      <c r="AF243" s="1553" t="s">
        <v>2655</v>
      </c>
      <c r="AG243" s="1553"/>
      <c r="AH243" s="1553"/>
      <c r="AI243" s="1553"/>
      <c r="AJ243" s="1553"/>
      <c r="AK243" s="1553"/>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554" t="s">
        <v>2656</v>
      </c>
      <c r="N244" s="1509"/>
      <c r="O244" s="1509"/>
      <c r="P244" s="1509"/>
      <c r="Q244" s="1509"/>
      <c r="R244" s="1509"/>
      <c r="S244" s="1509"/>
      <c r="T244" s="1509"/>
      <c r="U244" s="1509"/>
      <c r="V244" s="1509"/>
      <c r="W244" s="1509"/>
      <c r="X244" s="1509"/>
      <c r="Y244" s="1509"/>
      <c r="Z244" s="1509"/>
      <c r="AA244" s="1509"/>
      <c r="AB244" s="1509"/>
      <c r="AC244" s="1509"/>
      <c r="AD244" s="1509"/>
      <c r="AE244" s="1509"/>
      <c r="AF244" s="3" t="s">
        <v>1286</v>
      </c>
      <c r="AL244" s="4"/>
      <c r="AM244" s="4"/>
      <c r="AN244" s="4"/>
      <c r="AO244" s="4"/>
      <c r="AP244" s="4"/>
      <c r="AQ244" s="4"/>
      <c r="AR244" s="4"/>
      <c r="AS244" s="4"/>
      <c r="AT244" s="4"/>
      <c r="BB244" t="s">
        <v>308</v>
      </c>
      <c r="BG244">
        <v>1</v>
      </c>
      <c r="BH244" t="s">
        <v>543</v>
      </c>
    </row>
    <row r="245" spans="1:71" ht="12.95" customHeight="1">
      <c r="A245" s="19"/>
      <c r="B245" s="4"/>
      <c r="C245" s="4"/>
      <c r="D245" s="4" t="s">
        <v>589</v>
      </c>
      <c r="E245" s="4"/>
      <c r="M245" s="1554" t="s">
        <v>739</v>
      </c>
      <c r="N245" s="1509"/>
      <c r="O245" s="1509"/>
      <c r="P245" s="1509"/>
      <c r="Q245" s="1509"/>
      <c r="R245" s="1509"/>
      <c r="S245" s="1509"/>
      <c r="T245" s="1509"/>
      <c r="V245" s="33" t="s">
        <v>86</v>
      </c>
      <c r="W245" s="1403" t="s">
        <v>2657</v>
      </c>
      <c r="X245" s="1402"/>
      <c r="Y245" s="4" t="s">
        <v>592</v>
      </c>
      <c r="AC245" s="1509">
        <v>92128</v>
      </c>
      <c r="AD245" s="1509"/>
      <c r="AE245" s="1509"/>
      <c r="AF245" s="3" t="s">
        <v>1287</v>
      </c>
      <c r="AU245" s="4"/>
      <c r="AV245" s="4"/>
      <c r="AW245" s="4"/>
      <c r="AX245" s="4"/>
      <c r="AY245" s="4"/>
      <c r="BB245" s="4" t="s">
        <v>281</v>
      </c>
      <c r="BG245">
        <v>2</v>
      </c>
      <c r="BH245" t="s">
        <v>575</v>
      </c>
      <c r="BO245" s="257" t="str">
        <f>VLOOKUP(BG243,BG244:BH247,2,FALSE)</f>
        <v>Joint Venture</v>
      </c>
    </row>
    <row r="246" spans="1:71" ht="12.95" customHeight="1">
      <c r="A246" s="19"/>
      <c r="B246" s="4"/>
      <c r="C246" s="4"/>
      <c r="D246" s="4" t="s">
        <v>87</v>
      </c>
      <c r="E246" s="4"/>
      <c r="F246" s="4"/>
      <c r="G246" s="4"/>
      <c r="H246" s="4"/>
      <c r="I246" s="4"/>
      <c r="J246" s="4"/>
      <c r="K246" s="4"/>
      <c r="L246" s="19"/>
      <c r="M246" s="1554" t="s">
        <v>2658</v>
      </c>
      <c r="N246" s="1509"/>
      <c r="O246" s="1509"/>
      <c r="P246" s="1509"/>
      <c r="Q246" s="1509"/>
      <c r="R246" s="1509"/>
      <c r="S246" s="1509"/>
      <c r="T246" s="1509"/>
      <c r="U246" s="1509"/>
      <c r="V246" s="1509"/>
      <c r="W246" s="1509"/>
      <c r="X246" s="1509"/>
      <c r="Y246" s="1509"/>
      <c r="Z246" s="1509"/>
      <c r="AA246" s="1509"/>
      <c r="AB246" s="1509"/>
      <c r="AC246" s="1509"/>
      <c r="AD246" s="1509"/>
      <c r="AE246" s="1509"/>
      <c r="AH246" s="1555">
        <v>0.99</v>
      </c>
      <c r="AI246" s="1555"/>
      <c r="AJ246" s="1555"/>
      <c r="AK246" s="1555"/>
      <c r="AL246" s="4"/>
      <c r="AM246" s="4"/>
      <c r="AN246" s="4"/>
      <c r="AO246" s="4"/>
      <c r="AP246" s="4"/>
      <c r="AQ246" s="4"/>
      <c r="AR246" s="4"/>
      <c r="AS246" s="4"/>
      <c r="AT246" s="4"/>
      <c r="BB246" s="4" t="s">
        <v>173</v>
      </c>
      <c r="BG246">
        <v>3</v>
      </c>
      <c r="BH246" t="s">
        <v>545</v>
      </c>
      <c r="BN246" s="34"/>
    </row>
    <row r="247" spans="1:71" ht="12.95" customHeight="1">
      <c r="A247" s="19"/>
      <c r="B247" s="4"/>
      <c r="C247" s="4"/>
      <c r="D247" s="4" t="s">
        <v>88</v>
      </c>
      <c r="E247" s="4"/>
      <c r="F247" s="4"/>
      <c r="M247" s="1510" t="s">
        <v>2659</v>
      </c>
      <c r="N247" s="1491"/>
      <c r="O247" s="1491"/>
      <c r="P247" s="1491"/>
      <c r="Q247" s="1491"/>
      <c r="R247" s="1491"/>
      <c r="S247" s="4" t="s">
        <v>207</v>
      </c>
      <c r="T247" s="4"/>
      <c r="U247" s="1402"/>
      <c r="V247" s="1402"/>
      <c r="W247" s="1402"/>
      <c r="X247" s="4" t="s">
        <v>89</v>
      </c>
      <c r="Z247" s="1491"/>
      <c r="AA247" s="1491"/>
      <c r="AB247" s="1491"/>
      <c r="AC247" s="1491"/>
      <c r="AD247" s="1491"/>
      <c r="AE247" s="1491"/>
      <c r="AU247" s="4"/>
      <c r="AV247" s="4"/>
      <c r="AW247" s="4"/>
      <c r="AX247" s="4"/>
      <c r="AY247" s="4"/>
      <c r="BG247">
        <v>0</v>
      </c>
      <c r="BH247" s="3"/>
      <c r="BN247" s="34"/>
    </row>
    <row r="248" spans="1:71" ht="12.95" customHeight="1">
      <c r="A248" s="19"/>
      <c r="B248" s="4"/>
      <c r="C248" s="4"/>
      <c r="D248" s="4" t="s">
        <v>90</v>
      </c>
      <c r="E248" s="4"/>
      <c r="F248" s="4"/>
      <c r="M248" s="1550" t="s">
        <v>2660</v>
      </c>
      <c r="N248" s="1550"/>
      <c r="O248" s="1550"/>
      <c r="P248" s="1550"/>
      <c r="Q248" s="1550"/>
      <c r="R248" s="1550"/>
      <c r="S248" s="1550"/>
      <c r="T248" s="1550"/>
      <c r="U248" s="1550"/>
      <c r="V248" s="1550"/>
      <c r="W248" s="1550"/>
      <c r="X248" s="1550"/>
      <c r="Y248" s="1550"/>
      <c r="Z248" s="1550"/>
      <c r="AA248" s="1550"/>
      <c r="AB248" s="1550"/>
      <c r="AC248" s="1550"/>
      <c r="AD248" s="1550"/>
      <c r="AE248" s="1550"/>
      <c r="AG248" s="4"/>
      <c r="AH248" s="4"/>
      <c r="AI248" s="4"/>
      <c r="AJ248" s="4"/>
      <c r="AK248" s="4"/>
      <c r="AL248" s="4"/>
      <c r="AM248" s="4"/>
      <c r="AN248" s="4"/>
      <c r="AO248" s="4"/>
      <c r="AP248" s="4"/>
      <c r="AQ248" s="4"/>
      <c r="AR248" s="4"/>
      <c r="AS248" s="4"/>
      <c r="AT248" s="4"/>
      <c r="BN248" s="34"/>
    </row>
    <row r="249" spans="1:71" ht="12.95" customHeight="1">
      <c r="A249" s="13"/>
      <c r="B249" s="4"/>
      <c r="C249" s="56"/>
      <c r="D249" s="4" t="s">
        <v>544</v>
      </c>
      <c r="E249" s="4"/>
      <c r="F249" s="4"/>
      <c r="G249" s="4"/>
      <c r="H249" s="4"/>
      <c r="I249" s="4"/>
      <c r="J249" s="4"/>
      <c r="K249" s="4"/>
      <c r="L249" s="4"/>
      <c r="M249" s="1404" t="s">
        <v>545</v>
      </c>
      <c r="N249" s="1404"/>
      <c r="O249" s="1404"/>
      <c r="P249" s="1404"/>
      <c r="Q249" s="1404"/>
      <c r="R249" s="1404"/>
      <c r="S249" s="1404"/>
      <c r="T249" s="1404"/>
      <c r="U249" s="218" t="s">
        <v>922</v>
      </c>
      <c r="V249" s="218"/>
      <c r="W249" s="218"/>
      <c r="X249" s="218"/>
      <c r="Y249" s="218"/>
      <c r="Z249" s="218"/>
      <c r="AA249" s="1574" t="s">
        <v>2661</v>
      </c>
      <c r="AB249" s="1575"/>
      <c r="AC249" s="1575"/>
      <c r="AD249" s="1575"/>
      <c r="AE249" s="1575"/>
      <c r="AF249" s="1575"/>
      <c r="AG249" s="1575"/>
      <c r="AH249" s="1575"/>
      <c r="AI249" s="1575"/>
      <c r="AJ249" s="1575"/>
      <c r="AK249" s="1575"/>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975</v>
      </c>
      <c r="E251" s="4"/>
      <c r="F251" s="4"/>
      <c r="G251" s="4"/>
      <c r="H251" s="4"/>
      <c r="I251" s="4"/>
      <c r="J251" s="4"/>
      <c r="K251" s="4"/>
      <c r="L251" s="4"/>
      <c r="M251" s="1552" t="s">
        <v>2662</v>
      </c>
      <c r="N251" s="1553"/>
      <c r="O251" s="1553"/>
      <c r="P251" s="1553"/>
      <c r="Q251" s="1553"/>
      <c r="R251" s="1553"/>
      <c r="S251" s="1553"/>
      <c r="T251" s="1553"/>
      <c r="U251" s="1553"/>
      <c r="V251" s="1553"/>
      <c r="W251" s="1553"/>
      <c r="X251" s="1553"/>
      <c r="Y251" s="1553"/>
      <c r="Z251" s="1553"/>
      <c r="AA251" s="1553"/>
      <c r="AB251" s="1553"/>
      <c r="AC251" s="1553"/>
      <c r="AD251" s="1553"/>
      <c r="AE251" s="1553"/>
      <c r="AF251" s="1553" t="s">
        <v>2663</v>
      </c>
      <c r="AG251" s="1553"/>
      <c r="AH251" s="1553"/>
      <c r="AI251" s="1553"/>
      <c r="AJ251" s="1553"/>
      <c r="AK251" s="1553"/>
      <c r="AU251" s="4"/>
      <c r="AV251" s="4"/>
      <c r="AW251" s="4"/>
      <c r="AX251" s="4"/>
      <c r="AY251" s="4"/>
      <c r="BN251" s="34"/>
    </row>
    <row r="252" spans="1:71" ht="12.95" customHeight="1">
      <c r="A252" s="19"/>
      <c r="B252" s="4"/>
      <c r="C252" s="4"/>
      <c r="D252" s="4" t="s">
        <v>85</v>
      </c>
      <c r="E252" s="4"/>
      <c r="F252" s="4"/>
      <c r="G252" s="4"/>
      <c r="H252" s="4"/>
      <c r="I252" s="4"/>
      <c r="J252" s="4"/>
      <c r="K252" s="4"/>
      <c r="L252" s="4"/>
      <c r="M252" s="1554" t="s">
        <v>2650</v>
      </c>
      <c r="N252" s="1509"/>
      <c r="O252" s="1509"/>
      <c r="P252" s="1509"/>
      <c r="Q252" s="1509"/>
      <c r="R252" s="1509"/>
      <c r="S252" s="1509"/>
      <c r="T252" s="1509"/>
      <c r="U252" s="1509"/>
      <c r="V252" s="1509"/>
      <c r="W252" s="1509"/>
      <c r="X252" s="1509"/>
      <c r="Y252" s="1509"/>
      <c r="Z252" s="1509"/>
      <c r="AA252" s="1509"/>
      <c r="AB252" s="1509"/>
      <c r="AC252" s="1509"/>
      <c r="AD252" s="1509"/>
      <c r="AE252" s="1509"/>
      <c r="AF252" s="3" t="s">
        <v>1286</v>
      </c>
      <c r="AL252" s="4"/>
      <c r="AM252" s="4"/>
      <c r="AN252" s="4"/>
      <c r="AO252" s="4"/>
      <c r="AP252" s="4"/>
      <c r="AQ252" s="4"/>
      <c r="AR252" s="4"/>
      <c r="AS252" s="4"/>
      <c r="AT252" s="4"/>
      <c r="BN252" s="34"/>
    </row>
    <row r="253" spans="1:71" ht="12.95" customHeight="1">
      <c r="A253" s="19"/>
      <c r="B253" s="4"/>
      <c r="C253" s="4"/>
      <c r="D253" s="4" t="s">
        <v>589</v>
      </c>
      <c r="E253" s="4"/>
      <c r="M253" s="1554" t="s">
        <v>739</v>
      </c>
      <c r="N253" s="1509"/>
      <c r="O253" s="1509"/>
      <c r="P253" s="1509"/>
      <c r="Q253" s="1509"/>
      <c r="R253" s="1509"/>
      <c r="S253" s="1509"/>
      <c r="T253" s="1509"/>
      <c r="V253" s="33" t="s">
        <v>86</v>
      </c>
      <c r="W253" s="1403" t="s">
        <v>2657</v>
      </c>
      <c r="X253" s="1402"/>
      <c r="Y253" s="4" t="s">
        <v>592</v>
      </c>
      <c r="AC253" s="1509">
        <v>92128</v>
      </c>
      <c r="AD253" s="1509"/>
      <c r="AE253" s="1509"/>
      <c r="AF253" s="3" t="s">
        <v>1287</v>
      </c>
      <c r="AU253" s="4"/>
      <c r="AV253" s="4"/>
      <c r="AW253" s="4"/>
      <c r="AX253" s="4"/>
      <c r="AY253" s="4"/>
      <c r="BN253" s="34"/>
    </row>
    <row r="254" spans="1:71" ht="12.95" customHeight="1">
      <c r="A254" s="19"/>
      <c r="B254" s="4"/>
      <c r="C254" s="4"/>
      <c r="D254" s="4" t="s">
        <v>87</v>
      </c>
      <c r="E254" s="4"/>
      <c r="F254" s="4"/>
      <c r="G254" s="4"/>
      <c r="H254" s="4"/>
      <c r="I254" s="4"/>
      <c r="J254" s="4"/>
      <c r="K254" s="4"/>
      <c r="L254" s="19"/>
      <c r="M254" s="1554" t="s">
        <v>2651</v>
      </c>
      <c r="N254" s="1509"/>
      <c r="O254" s="1509"/>
      <c r="P254" s="1509"/>
      <c r="Q254" s="1509"/>
      <c r="R254" s="1509"/>
      <c r="S254" s="1509"/>
      <c r="T254" s="1509"/>
      <c r="U254" s="1509"/>
      <c r="V254" s="1509"/>
      <c r="W254" s="1509"/>
      <c r="X254" s="1509"/>
      <c r="Y254" s="1509"/>
      <c r="Z254" s="1509"/>
      <c r="AA254" s="1509"/>
      <c r="AB254" s="1509"/>
      <c r="AC254" s="1509"/>
      <c r="AD254" s="1509"/>
      <c r="AE254" s="1509"/>
      <c r="AH254" s="1555">
        <v>0.01</v>
      </c>
      <c r="AI254" s="1555"/>
      <c r="AJ254" s="1555"/>
      <c r="AK254" s="1555"/>
      <c r="AL254" s="4"/>
      <c r="AM254" s="4"/>
      <c r="AN254" s="4"/>
      <c r="AO254" s="4"/>
      <c r="AP254" s="4"/>
      <c r="AQ254" s="4"/>
      <c r="AR254" s="4"/>
      <c r="AS254" s="4"/>
      <c r="AT254" s="4"/>
    </row>
    <row r="255" spans="1:71" ht="12.95" customHeight="1">
      <c r="A255" s="19"/>
      <c r="B255" s="4"/>
      <c r="C255" s="4"/>
      <c r="D255" s="4" t="s">
        <v>88</v>
      </c>
      <c r="E255" s="4"/>
      <c r="F255" s="4"/>
      <c r="M255" s="1510" t="s">
        <v>2664</v>
      </c>
      <c r="N255" s="1491"/>
      <c r="O255" s="1491"/>
      <c r="P255" s="1491"/>
      <c r="Q255" s="1491"/>
      <c r="R255" s="1491"/>
      <c r="S255" s="4" t="s">
        <v>207</v>
      </c>
      <c r="T255" s="4"/>
      <c r="U255" s="1402"/>
      <c r="V255" s="1402"/>
      <c r="W255" s="1402"/>
      <c r="X255" s="4" t="s">
        <v>89</v>
      </c>
      <c r="Z255" s="1491"/>
      <c r="AA255" s="1491"/>
      <c r="AB255" s="1491"/>
      <c r="AC255" s="1491"/>
      <c r="AD255" s="1491"/>
      <c r="AE255" s="1491"/>
      <c r="AU255" s="4"/>
      <c r="AV255" s="4"/>
      <c r="AW255" s="4"/>
      <c r="AX255" s="4"/>
      <c r="AY255" s="4"/>
      <c r="BN255" s="34"/>
    </row>
    <row r="256" spans="1:71" ht="12.95" customHeight="1">
      <c r="A256" s="19"/>
      <c r="B256" s="4"/>
      <c r="C256" s="4"/>
      <c r="D256" s="4" t="s">
        <v>90</v>
      </c>
      <c r="E256" s="4"/>
      <c r="F256" s="4"/>
      <c r="M256" s="1550" t="s">
        <v>2653</v>
      </c>
      <c r="N256" s="1550"/>
      <c r="O256" s="1550"/>
      <c r="P256" s="1550"/>
      <c r="Q256" s="1550"/>
      <c r="R256" s="1550"/>
      <c r="S256" s="1550"/>
      <c r="T256" s="1550"/>
      <c r="U256" s="1550"/>
      <c r="V256" s="1550"/>
      <c r="W256" s="1550"/>
      <c r="X256" s="1550"/>
      <c r="Y256" s="1550"/>
      <c r="Z256" s="1550"/>
      <c r="AA256" s="1550"/>
      <c r="AB256" s="1550"/>
      <c r="AC256" s="1550"/>
      <c r="AD256" s="1550"/>
      <c r="AE256" s="1550"/>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544</v>
      </c>
      <c r="E257" s="4"/>
      <c r="F257" s="4"/>
      <c r="G257" s="4"/>
      <c r="H257" s="4"/>
      <c r="I257" s="4"/>
      <c r="J257" s="4"/>
      <c r="K257" s="4"/>
      <c r="L257" s="4"/>
      <c r="M257" s="1404" t="s">
        <v>543</v>
      </c>
      <c r="N257" s="1404"/>
      <c r="O257" s="1404"/>
      <c r="P257" s="1404"/>
      <c r="Q257" s="1404"/>
      <c r="R257" s="1404"/>
      <c r="S257" s="1404"/>
      <c r="T257" s="1404"/>
      <c r="U257" s="218" t="s">
        <v>922</v>
      </c>
      <c r="V257" s="218"/>
      <c r="W257" s="218"/>
      <c r="X257" s="218"/>
      <c r="Y257" s="218"/>
      <c r="Z257" s="218"/>
      <c r="AA257" s="1574" t="s">
        <v>2640</v>
      </c>
      <c r="AB257" s="1575"/>
      <c r="AC257" s="1575"/>
      <c r="AD257" s="1575"/>
      <c r="AE257" s="1575"/>
      <c r="AF257" s="1575"/>
      <c r="AG257" s="1575"/>
      <c r="AH257" s="1575"/>
      <c r="AI257" s="1575"/>
      <c r="AJ257" s="1575"/>
      <c r="AK257" s="1575"/>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889</v>
      </c>
      <c r="D259" s="4" t="s">
        <v>541</v>
      </c>
      <c r="E259" s="4"/>
      <c r="F259" s="4"/>
      <c r="G259" s="4"/>
      <c r="H259" s="4"/>
      <c r="I259" s="4"/>
      <c r="J259" s="4"/>
      <c r="K259" s="4"/>
      <c r="L259" s="4"/>
      <c r="M259" s="1553"/>
      <c r="N259" s="1553"/>
      <c r="O259" s="1553"/>
      <c r="P259" s="1553"/>
      <c r="Q259" s="1553"/>
      <c r="R259" s="1553"/>
      <c r="S259" s="1553"/>
      <c r="T259" s="1553"/>
      <c r="U259" s="1553"/>
      <c r="V259" s="1553"/>
      <c r="W259" s="1553"/>
      <c r="X259" s="1553"/>
      <c r="Y259" s="1553"/>
      <c r="Z259" s="1553"/>
      <c r="AA259" s="1553"/>
      <c r="AB259" s="1553"/>
      <c r="AC259" s="1553"/>
      <c r="AD259" s="1553"/>
      <c r="AE259" s="1553"/>
      <c r="AF259" s="1553" t="s">
        <v>308</v>
      </c>
      <c r="AG259" s="1553"/>
      <c r="AH259" s="1553"/>
      <c r="AI259" s="1553"/>
      <c r="AJ259" s="1553"/>
      <c r="AK259" s="1553"/>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509"/>
      <c r="N260" s="1509"/>
      <c r="O260" s="1509"/>
      <c r="P260" s="1509"/>
      <c r="Q260" s="1509"/>
      <c r="R260" s="1509"/>
      <c r="S260" s="1509"/>
      <c r="T260" s="1509"/>
      <c r="U260" s="1509"/>
      <c r="V260" s="1509"/>
      <c r="W260" s="1509"/>
      <c r="X260" s="1509"/>
      <c r="Y260" s="1509"/>
      <c r="Z260" s="1509"/>
      <c r="AA260" s="1509"/>
      <c r="AB260" s="1509"/>
      <c r="AC260" s="1509"/>
      <c r="AD260" s="1509"/>
      <c r="AE260" s="1509"/>
      <c r="AF260" s="3" t="s">
        <v>1286</v>
      </c>
      <c r="AL260" s="3"/>
      <c r="AM260" s="3"/>
      <c r="AN260" s="3"/>
      <c r="AO260" s="3"/>
      <c r="AP260" s="3"/>
      <c r="AQ260" s="3"/>
      <c r="AR260" s="3"/>
      <c r="AS260" s="3"/>
      <c r="AT260" s="3"/>
      <c r="AU260" s="3"/>
      <c r="AV260" s="3"/>
      <c r="AW260" s="3"/>
      <c r="AX260" s="3"/>
      <c r="AY260" s="3"/>
      <c r="BN260" s="34"/>
    </row>
    <row r="261" spans="1:66" ht="12.95" customHeight="1">
      <c r="A261" s="13"/>
      <c r="B261" s="4"/>
      <c r="C261" s="4"/>
      <c r="D261" s="4" t="s">
        <v>589</v>
      </c>
      <c r="E261" s="4"/>
      <c r="M261" s="1509"/>
      <c r="N261" s="1509"/>
      <c r="O261" s="1509"/>
      <c r="P261" s="1509"/>
      <c r="Q261" s="1509"/>
      <c r="R261" s="1509"/>
      <c r="S261" s="1509"/>
      <c r="T261" s="1509"/>
      <c r="V261" s="33" t="s">
        <v>86</v>
      </c>
      <c r="W261" s="1402"/>
      <c r="X261" s="1402"/>
      <c r="Y261" s="4" t="s">
        <v>592</v>
      </c>
      <c r="AC261" s="1509"/>
      <c r="AD261" s="1509"/>
      <c r="AE261" s="1509"/>
      <c r="AF261" s="3" t="s">
        <v>1287</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509"/>
      <c r="N262" s="1509"/>
      <c r="O262" s="1509"/>
      <c r="P262" s="1509"/>
      <c r="Q262" s="1509"/>
      <c r="R262" s="1509"/>
      <c r="S262" s="1509"/>
      <c r="T262" s="1509"/>
      <c r="U262" s="1509"/>
      <c r="V262" s="1509"/>
      <c r="W262" s="1509"/>
      <c r="X262" s="1509"/>
      <c r="Y262" s="1509"/>
      <c r="Z262" s="1509"/>
      <c r="AA262" s="1509"/>
      <c r="AB262" s="1509"/>
      <c r="AC262" s="1509"/>
      <c r="AD262" s="1509"/>
      <c r="AE262" s="1509"/>
      <c r="AH262" s="1555"/>
      <c r="AI262" s="1555"/>
      <c r="AJ262" s="1555"/>
      <c r="AK262" s="1555"/>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491"/>
      <c r="N263" s="1491"/>
      <c r="O263" s="1491"/>
      <c r="P263" s="1491"/>
      <c r="Q263" s="1491"/>
      <c r="R263" s="1491"/>
      <c r="S263" s="4" t="s">
        <v>207</v>
      </c>
      <c r="T263" s="4"/>
      <c r="U263" s="1402"/>
      <c r="V263" s="1402"/>
      <c r="W263" s="1402"/>
      <c r="X263" s="4" t="s">
        <v>89</v>
      </c>
      <c r="Z263" s="1491"/>
      <c r="AA263" s="1491"/>
      <c r="AB263" s="1491"/>
      <c r="AC263" s="1491"/>
      <c r="AD263" s="1491"/>
      <c r="AE263" s="1491"/>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50"/>
      <c r="N264" s="1550"/>
      <c r="O264" s="1550"/>
      <c r="P264" s="1550"/>
      <c r="Q264" s="1550"/>
      <c r="R264" s="1550"/>
      <c r="S264" s="1550"/>
      <c r="T264" s="1550"/>
      <c r="U264" s="1550"/>
      <c r="V264" s="1550"/>
      <c r="W264" s="1550"/>
      <c r="X264" s="1550"/>
      <c r="Y264" s="1550"/>
      <c r="Z264" s="1550"/>
      <c r="AA264" s="1587"/>
      <c r="AB264" s="1587"/>
      <c r="AC264" s="1587"/>
      <c r="AD264" s="1587"/>
      <c r="AE264" s="1587"/>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544</v>
      </c>
      <c r="E265" s="4"/>
      <c r="F265" s="4"/>
      <c r="G265" s="4"/>
      <c r="H265" s="4"/>
      <c r="I265" s="4"/>
      <c r="J265" s="4"/>
      <c r="K265" s="4"/>
      <c r="L265" s="4"/>
      <c r="M265" s="1404" t="s">
        <v>308</v>
      </c>
      <c r="N265" s="1404"/>
      <c r="O265" s="1404"/>
      <c r="P265" s="1404"/>
      <c r="Q265" s="1404"/>
      <c r="R265" s="1404"/>
      <c r="S265" s="1404"/>
      <c r="T265" s="1404"/>
      <c r="U265" s="218" t="s">
        <v>922</v>
      </c>
      <c r="V265" s="218"/>
      <c r="W265" s="218"/>
      <c r="X265" s="218"/>
      <c r="Y265" s="218"/>
      <c r="Z265" s="218"/>
      <c r="AA265" s="1585"/>
      <c r="AB265" s="1585"/>
      <c r="AC265" s="1585"/>
      <c r="AD265" s="1585"/>
      <c r="AE265" s="1585"/>
      <c r="AF265" s="1585"/>
      <c r="AG265" s="1585"/>
      <c r="AH265" s="1585"/>
      <c r="AI265" s="1585"/>
      <c r="AJ265" s="1585"/>
      <c r="AK265" s="1585"/>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599</v>
      </c>
      <c r="B267" s="4"/>
      <c r="C267" s="2" t="s">
        <v>296</v>
      </c>
      <c r="D267" s="4"/>
      <c r="E267" s="4"/>
      <c r="F267" s="4"/>
      <c r="G267" s="4"/>
      <c r="H267" s="4"/>
      <c r="I267" s="4"/>
      <c r="J267" s="4"/>
      <c r="K267" s="4"/>
      <c r="L267" s="4"/>
      <c r="M267" s="35"/>
      <c r="N267" s="35"/>
      <c r="O267" s="35"/>
      <c r="P267" s="35"/>
      <c r="Q267" s="35"/>
      <c r="T267" s="1551" t="str">
        <f>IFERROR(BO245,"")</f>
        <v>Joint Venture</v>
      </c>
      <c r="U267" s="1551"/>
      <c r="V267" s="1551"/>
      <c r="W267" s="1551"/>
      <c r="X267" s="1551"/>
      <c r="Z267" s="331" t="s">
        <v>974</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2.95"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2.95" customHeight="1">
      <c r="A270" s="4"/>
      <c r="B270" s="36">
        <v>0</v>
      </c>
      <c r="D270" s="1509" t="s">
        <v>281</v>
      </c>
      <c r="E270" s="1509"/>
      <c r="F270" s="1509"/>
      <c r="G270" s="1509"/>
      <c r="H270" s="1509"/>
      <c r="J270" t="s">
        <v>280</v>
      </c>
      <c r="X270" s="1586"/>
      <c r="Y270" s="1586"/>
      <c r="Z270" s="1586"/>
      <c r="AA270" s="1586"/>
      <c r="AB270" s="1586"/>
      <c r="AC270" s="1586"/>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552" t="s">
        <v>2661</v>
      </c>
      <c r="M274" s="1553"/>
      <c r="N274" s="1553"/>
      <c r="O274" s="1553"/>
      <c r="P274" s="1553"/>
      <c r="Q274" s="1553"/>
      <c r="R274" s="1553"/>
      <c r="S274" s="1553"/>
      <c r="T274" s="1553"/>
      <c r="U274" s="1553"/>
      <c r="V274" s="1553"/>
      <c r="W274" s="1553"/>
      <c r="X274" s="1553"/>
      <c r="Y274" s="1553"/>
      <c r="Z274" s="1553"/>
      <c r="AA274" s="1553"/>
      <c r="AB274" s="1553"/>
      <c r="AC274" s="1553"/>
      <c r="AD274" s="1553"/>
      <c r="AE274" s="1553"/>
      <c r="AF274" s="1553"/>
      <c r="AG274" s="1553"/>
      <c r="AH274" s="1553"/>
      <c r="AI274" s="1553"/>
      <c r="AJ274" s="1553"/>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554" t="s">
        <v>2665</v>
      </c>
      <c r="M275" s="1509"/>
      <c r="N275" s="1509"/>
      <c r="O275" s="1509"/>
      <c r="P275" s="1509"/>
      <c r="Q275" s="1509"/>
      <c r="R275" s="1509"/>
      <c r="S275" s="1509"/>
      <c r="T275" s="1509"/>
      <c r="U275" s="1509"/>
      <c r="V275" s="1509"/>
      <c r="W275" s="1509"/>
      <c r="X275" s="1509"/>
      <c r="Y275" s="1509"/>
      <c r="Z275" s="1509"/>
      <c r="AA275" s="1509"/>
      <c r="AB275" s="1509"/>
      <c r="AC275" s="1509"/>
      <c r="AD275" s="1509"/>
      <c r="AK275" s="3"/>
      <c r="AL275" s="3"/>
      <c r="AM275" s="3"/>
      <c r="AN275" s="3"/>
      <c r="AO275" s="3"/>
      <c r="AP275" s="3"/>
      <c r="AQ275" s="3"/>
      <c r="AR275" s="3"/>
      <c r="AS275" s="3"/>
      <c r="AT275" s="3"/>
      <c r="AU275" s="3"/>
      <c r="AV275" s="3"/>
      <c r="AW275" s="3"/>
      <c r="AX275" s="3"/>
      <c r="AY275" s="3"/>
      <c r="BN275" s="34"/>
    </row>
    <row r="276" spans="1:66" ht="12.95" customHeight="1">
      <c r="D276" s="4" t="s">
        <v>589</v>
      </c>
      <c r="E276" s="4"/>
      <c r="L276" s="1554" t="s">
        <v>739</v>
      </c>
      <c r="M276" s="1509"/>
      <c r="N276" s="1509"/>
      <c r="O276" s="1509"/>
      <c r="P276" s="1509"/>
      <c r="Q276" s="1509"/>
      <c r="R276" s="1509"/>
      <c r="S276" s="1509"/>
      <c r="U276" s="33" t="s">
        <v>86</v>
      </c>
      <c r="V276" s="1403" t="s">
        <v>2657</v>
      </c>
      <c r="W276" s="1402"/>
      <c r="X276" s="4" t="s">
        <v>592</v>
      </c>
      <c r="AB276" s="1509">
        <v>92128</v>
      </c>
      <c r="AC276" s="1509"/>
      <c r="AD276" s="1509"/>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554" t="s">
        <v>2666</v>
      </c>
      <c r="M277" s="1509"/>
      <c r="N277" s="1509"/>
      <c r="O277" s="1509"/>
      <c r="P277" s="1509"/>
      <c r="Q277" s="1509"/>
      <c r="R277" s="1509"/>
      <c r="S277" s="1509"/>
      <c r="T277" s="1509"/>
      <c r="U277" s="1509"/>
      <c r="V277" s="1509"/>
      <c r="W277" s="1509"/>
      <c r="X277" s="1509"/>
      <c r="Y277" s="1509"/>
      <c r="Z277" s="1509"/>
      <c r="AA277" s="1509"/>
      <c r="AB277" s="1509"/>
      <c r="AC277" s="1509"/>
      <c r="AD277" s="1509"/>
      <c r="AI277" s="4"/>
      <c r="AJ277" s="4"/>
      <c r="AK277" s="3"/>
      <c r="AL277" s="3"/>
      <c r="AM277" s="3"/>
      <c r="AN277" s="3"/>
      <c r="AO277" s="3"/>
      <c r="AP277" s="3"/>
      <c r="AQ277" s="3"/>
      <c r="AR277" s="3"/>
      <c r="AS277" s="3"/>
      <c r="AT277" s="3"/>
      <c r="BN277" s="34"/>
    </row>
    <row r="278" spans="1:66" ht="12.95" customHeight="1">
      <c r="D278" s="4" t="s">
        <v>88</v>
      </c>
      <c r="E278" s="4"/>
      <c r="F278" s="4"/>
      <c r="L278" s="1510" t="s">
        <v>2667</v>
      </c>
      <c r="M278" s="1491"/>
      <c r="N278" s="1491"/>
      <c r="O278" s="1491"/>
      <c r="P278" s="1491"/>
      <c r="Q278" s="1491"/>
      <c r="R278" s="4" t="s">
        <v>207</v>
      </c>
      <c r="S278" s="4"/>
      <c r="T278" s="1402"/>
      <c r="U278" s="1402"/>
      <c r="V278" s="1402"/>
      <c r="W278" s="4" t="s">
        <v>89</v>
      </c>
      <c r="Y278" s="1510" t="s">
        <v>2670</v>
      </c>
      <c r="Z278" s="1491"/>
      <c r="AA278" s="1491"/>
      <c r="AB278" s="1491"/>
      <c r="AC278" s="1491"/>
      <c r="AD278" s="1491"/>
      <c r="BN278" s="34"/>
    </row>
    <row r="279" spans="1:66" ht="12.95" customHeight="1">
      <c r="D279" s="4" t="s">
        <v>90</v>
      </c>
      <c r="E279" s="4"/>
      <c r="F279" s="4"/>
      <c r="L279" s="1550" t="s">
        <v>2668</v>
      </c>
      <c r="M279" s="1550"/>
      <c r="N279" s="1550"/>
      <c r="O279" s="1550"/>
      <c r="P279" s="1550"/>
      <c r="Q279" s="1550"/>
      <c r="R279" s="1550"/>
      <c r="S279" s="1550"/>
      <c r="T279" s="1550"/>
      <c r="U279" s="1550"/>
      <c r="V279" s="1550"/>
      <c r="W279" s="1550"/>
      <c r="X279" s="1550"/>
      <c r="Y279" s="1550"/>
      <c r="Z279" s="1550"/>
      <c r="AA279" s="1550"/>
      <c r="AB279" s="1550"/>
      <c r="AC279" s="1550"/>
      <c r="AD279" s="1550"/>
      <c r="AF279" s="4"/>
      <c r="AG279" s="4"/>
      <c r="AH279" s="4"/>
      <c r="AI279" s="4"/>
      <c r="AJ279" s="4"/>
      <c r="AU279" s="3"/>
      <c r="AV279" s="3"/>
      <c r="AW279" s="3"/>
      <c r="AX279" s="3"/>
      <c r="AY279" s="3"/>
      <c r="BN279" s="34"/>
    </row>
    <row r="280" spans="1:66" ht="12.95" customHeight="1">
      <c r="D280" s="3" t="s">
        <v>632</v>
      </c>
      <c r="E280" s="3"/>
      <c r="F280" s="3"/>
      <c r="G280" s="3"/>
      <c r="H280" s="3"/>
      <c r="I280" s="3"/>
      <c r="L280" s="1403" t="s">
        <v>2669</v>
      </c>
      <c r="M280" s="1403"/>
      <c r="N280" s="1403"/>
      <c r="O280" s="1403"/>
      <c r="P280" s="1403"/>
      <c r="Q280" s="1403"/>
      <c r="R280" s="1403"/>
      <c r="S280" s="1403"/>
      <c r="T280" s="1403"/>
      <c r="U280" s="1403"/>
      <c r="V280" s="1403"/>
      <c r="W280" s="1403"/>
      <c r="X280" s="1403"/>
      <c r="Y280" s="1403"/>
      <c r="Z280" s="1403"/>
      <c r="AA280" s="1403"/>
      <c r="AB280" s="1403"/>
      <c r="AC280" s="1403"/>
      <c r="AD280" s="1403"/>
      <c r="AK280" s="3"/>
      <c r="AL280" s="3"/>
      <c r="AM280" s="3"/>
      <c r="AN280" s="3"/>
      <c r="AO280" s="3"/>
      <c r="AP280" s="3"/>
      <c r="AQ280" s="3"/>
      <c r="AR280" s="3"/>
      <c r="AS280" s="3"/>
      <c r="AT280" s="3"/>
      <c r="BN280" s="34"/>
    </row>
    <row r="281" spans="1:66" ht="12.95" customHeight="1">
      <c r="L281" s="22" t="s">
        <v>633</v>
      </c>
      <c r="AU281" s="95"/>
      <c r="AV281" s="95"/>
      <c r="AW281" s="95"/>
      <c r="AX281" s="95"/>
      <c r="AY281" s="95"/>
      <c r="BN281" s="34"/>
    </row>
    <row r="282" spans="1:66" ht="12.95" customHeight="1">
      <c r="A282" s="1573" t="s">
        <v>550</v>
      </c>
      <c r="B282" s="1573"/>
      <c r="C282" s="1573"/>
      <c r="D282" s="1573"/>
      <c r="E282" s="1573"/>
      <c r="F282" s="1573"/>
      <c r="G282" s="1573"/>
      <c r="H282" s="1573"/>
      <c r="I282" s="1573"/>
      <c r="J282" s="1573"/>
      <c r="K282" s="1573"/>
      <c r="L282" s="1573"/>
      <c r="M282" s="1573"/>
      <c r="N282" s="1573"/>
      <c r="O282" s="1573"/>
      <c r="P282" s="1573"/>
      <c r="Q282" s="1573"/>
      <c r="R282" s="1573"/>
      <c r="S282" s="1573"/>
      <c r="T282" s="1573"/>
      <c r="U282" s="1573"/>
      <c r="V282" s="1573"/>
      <c r="W282" s="1573"/>
      <c r="X282" s="1573"/>
      <c r="Y282" s="1573"/>
      <c r="Z282" s="1573"/>
      <c r="AA282" s="1573"/>
      <c r="AB282" s="1573"/>
      <c r="AC282" s="1573"/>
      <c r="AD282" s="1573"/>
      <c r="AE282" s="1573"/>
      <c r="AF282" s="1573"/>
      <c r="AG282" s="1573"/>
      <c r="AH282" s="1573"/>
      <c r="AI282" s="1573"/>
      <c r="AJ282" s="1573"/>
      <c r="AK282" s="1573"/>
      <c r="AL282" s="1573"/>
      <c r="AM282" s="1573"/>
      <c r="AN282" s="1573"/>
      <c r="AO282" s="1573"/>
      <c r="AP282" s="1573"/>
      <c r="AQ282" s="1573"/>
      <c r="AR282" s="1573"/>
      <c r="AS282" s="1573"/>
      <c r="AT282" s="1573"/>
      <c r="AU282" s="95"/>
      <c r="AV282" s="95"/>
      <c r="AW282" s="95"/>
      <c r="AX282" s="95"/>
      <c r="AY282" s="95"/>
      <c r="BN282" s="34"/>
    </row>
    <row r="283" spans="1:66" ht="12.95" customHeight="1">
      <c r="A283" s="1573"/>
      <c r="B283" s="1573"/>
      <c r="C283" s="1573"/>
      <c r="D283" s="1573"/>
      <c r="E283" s="1573"/>
      <c r="F283" s="1573"/>
      <c r="G283" s="1573"/>
      <c r="H283" s="1573"/>
      <c r="I283" s="1573"/>
      <c r="J283" s="1573"/>
      <c r="K283" s="1573"/>
      <c r="L283" s="1573"/>
      <c r="M283" s="1573"/>
      <c r="N283" s="1573"/>
      <c r="O283" s="1573"/>
      <c r="P283" s="1573"/>
      <c r="Q283" s="1573"/>
      <c r="R283" s="1573"/>
      <c r="S283" s="1573"/>
      <c r="T283" s="1573"/>
      <c r="U283" s="1573"/>
      <c r="V283" s="1573"/>
      <c r="W283" s="1573"/>
      <c r="X283" s="1573"/>
      <c r="Y283" s="1573"/>
      <c r="Z283" s="1573"/>
      <c r="AA283" s="1573"/>
      <c r="AB283" s="1573"/>
      <c r="AC283" s="1573"/>
      <c r="AD283" s="1573"/>
      <c r="AE283" s="1573"/>
      <c r="AF283" s="1573"/>
      <c r="AG283" s="1573"/>
      <c r="AH283" s="1573"/>
      <c r="AI283" s="1573"/>
      <c r="AJ283" s="1573"/>
      <c r="AK283" s="1573"/>
      <c r="AL283" s="1573"/>
      <c r="AM283" s="1573"/>
      <c r="AN283" s="1573"/>
      <c r="AO283" s="1573"/>
      <c r="AP283" s="1573"/>
      <c r="AQ283" s="1573"/>
      <c r="AR283" s="1573"/>
      <c r="AS283" s="1573"/>
      <c r="AT283" s="1573"/>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635</v>
      </c>
      <c r="C287" s="3"/>
      <c r="D287" s="3"/>
      <c r="E287" s="3"/>
      <c r="F287" s="3"/>
      <c r="H287" s="1398" t="s">
        <v>2661</v>
      </c>
      <c r="I287" s="1398"/>
      <c r="J287" s="1398"/>
      <c r="K287" s="1398"/>
      <c r="L287" s="1398"/>
      <c r="M287" s="1398"/>
      <c r="N287" s="1398"/>
      <c r="O287" s="1398"/>
      <c r="P287" s="1398"/>
      <c r="Q287" s="1398"/>
      <c r="R287" s="1398"/>
      <c r="T287" s="3" t="s">
        <v>576</v>
      </c>
      <c r="V287" s="3"/>
      <c r="W287" s="3"/>
      <c r="X287" s="3"/>
      <c r="Y287" s="3"/>
      <c r="AA287" s="1398" t="s">
        <v>2675</v>
      </c>
      <c r="AB287" s="1398"/>
      <c r="AC287" s="1398"/>
      <c r="AD287" s="1398"/>
      <c r="AE287" s="1398"/>
      <c r="AF287" s="1398"/>
      <c r="AG287" s="1398"/>
      <c r="AH287" s="1398"/>
      <c r="AI287" s="1398"/>
      <c r="AJ287" s="1398"/>
      <c r="AK287" s="1398"/>
      <c r="BN287" s="34"/>
    </row>
    <row r="288" spans="1:66" ht="12.95" customHeight="1">
      <c r="B288" s="3" t="s">
        <v>480</v>
      </c>
      <c r="C288" s="3"/>
      <c r="D288" s="3"/>
      <c r="E288" s="3"/>
      <c r="F288" s="3"/>
      <c r="H288" s="1404" t="s">
        <v>2671</v>
      </c>
      <c r="I288" s="1404"/>
      <c r="J288" s="1404"/>
      <c r="K288" s="1404"/>
      <c r="L288" s="1404"/>
      <c r="M288" s="1404"/>
      <c r="N288" s="1404"/>
      <c r="O288" s="1404"/>
      <c r="P288" s="1404"/>
      <c r="Q288" s="1404"/>
      <c r="R288" s="1404"/>
      <c r="T288" s="3" t="s">
        <v>480</v>
      </c>
      <c r="V288" s="3"/>
      <c r="W288" s="3"/>
      <c r="X288" s="3"/>
      <c r="Y288" s="3"/>
      <c r="AA288" s="1404" t="s">
        <v>2676</v>
      </c>
      <c r="AB288" s="1404"/>
      <c r="AC288" s="1404"/>
      <c r="AD288" s="1404"/>
      <c r="AE288" s="1404"/>
      <c r="AF288" s="1404"/>
      <c r="AG288" s="1404"/>
      <c r="AH288" s="1404"/>
      <c r="AI288" s="1404"/>
      <c r="AJ288" s="1404"/>
      <c r="AK288" s="1404"/>
      <c r="BN288" s="34"/>
    </row>
    <row r="289" spans="2:66" ht="12.95" customHeight="1">
      <c r="B289" s="3" t="s">
        <v>481</v>
      </c>
      <c r="C289" s="3"/>
      <c r="D289" s="3"/>
      <c r="E289" s="3"/>
      <c r="F289" s="3"/>
      <c r="H289" s="1404" t="s">
        <v>2672</v>
      </c>
      <c r="I289" s="1404"/>
      <c r="J289" s="1404"/>
      <c r="K289" s="1404"/>
      <c r="L289" s="1404"/>
      <c r="M289" s="1404"/>
      <c r="N289" s="1404"/>
      <c r="O289" s="1404"/>
      <c r="P289" s="1404"/>
      <c r="Q289" s="1404"/>
      <c r="R289" s="1404"/>
      <c r="T289" s="3" t="s">
        <v>75</v>
      </c>
      <c r="V289" s="3"/>
      <c r="W289" s="3"/>
      <c r="X289" s="3"/>
      <c r="Y289" s="3"/>
      <c r="AA289" s="1404" t="s">
        <v>2677</v>
      </c>
      <c r="AB289" s="1404"/>
      <c r="AC289" s="1404"/>
      <c r="AD289" s="1404"/>
      <c r="AE289" s="1404"/>
      <c r="AF289" s="1404"/>
      <c r="AG289" s="1404"/>
      <c r="AH289" s="1404"/>
      <c r="AI289" s="1404"/>
      <c r="AJ289" s="1404"/>
      <c r="AK289" s="1404"/>
      <c r="BN289" s="34"/>
    </row>
    <row r="290" spans="2:66" ht="12.95" customHeight="1">
      <c r="B290" s="3" t="s">
        <v>87</v>
      </c>
      <c r="C290" s="3"/>
      <c r="D290" s="3"/>
      <c r="E290" s="3"/>
      <c r="F290" s="3"/>
      <c r="H290" s="1404" t="s">
        <v>2673</v>
      </c>
      <c r="I290" s="1404"/>
      <c r="J290" s="1404"/>
      <c r="K290" s="1404"/>
      <c r="L290" s="1404"/>
      <c r="M290" s="1404"/>
      <c r="N290" s="1404"/>
      <c r="O290" s="1404"/>
      <c r="P290" s="1404"/>
      <c r="Q290" s="1404"/>
      <c r="R290" s="1404"/>
      <c r="T290" s="3" t="s">
        <v>87</v>
      </c>
      <c r="V290" s="3"/>
      <c r="W290" s="3"/>
      <c r="X290" s="3"/>
      <c r="Y290" s="3"/>
      <c r="AA290" s="1404" t="s">
        <v>2678</v>
      </c>
      <c r="AB290" s="1404"/>
      <c r="AC290" s="1404"/>
      <c r="AD290" s="1404"/>
      <c r="AE290" s="1404"/>
      <c r="AF290" s="1404"/>
      <c r="AG290" s="1404"/>
      <c r="AH290" s="1404"/>
      <c r="AI290" s="1404"/>
      <c r="AJ290" s="1404"/>
      <c r="AK290" s="1404"/>
      <c r="BN290" s="34"/>
    </row>
    <row r="291" spans="2:66" ht="12.95" customHeight="1">
      <c r="B291" s="3" t="s">
        <v>88</v>
      </c>
      <c r="C291" s="3"/>
      <c r="D291" s="3"/>
      <c r="E291" s="3"/>
      <c r="F291" s="3"/>
      <c r="G291" s="3"/>
      <c r="H291" s="1549" t="s">
        <v>2659</v>
      </c>
      <c r="I291" s="1548"/>
      <c r="J291" s="1548"/>
      <c r="K291" s="1548"/>
      <c r="L291" s="1548"/>
      <c r="M291" s="1548"/>
      <c r="N291" s="4" t="s">
        <v>207</v>
      </c>
      <c r="O291" s="4"/>
      <c r="P291" s="1509"/>
      <c r="Q291" s="1509"/>
      <c r="R291" s="1509"/>
      <c r="S291" s="3"/>
      <c r="T291" s="3" t="s">
        <v>88</v>
      </c>
      <c r="V291" s="3"/>
      <c r="W291" s="3"/>
      <c r="X291" s="3"/>
      <c r="Y291" s="3"/>
      <c r="AA291" s="1549" t="s">
        <v>2679</v>
      </c>
      <c r="AB291" s="1548"/>
      <c r="AC291" s="1548"/>
      <c r="AD291" s="1548"/>
      <c r="AE291" s="1548"/>
      <c r="AF291" s="1548"/>
      <c r="AG291" s="4" t="s">
        <v>207</v>
      </c>
      <c r="AH291" s="4"/>
      <c r="AI291" s="1554" t="s">
        <v>600</v>
      </c>
      <c r="AJ291" s="1509"/>
      <c r="AK291" s="1509"/>
      <c r="BN291" s="34"/>
    </row>
    <row r="292" spans="2:66" ht="12.95" customHeight="1">
      <c r="B292" s="3" t="s">
        <v>89</v>
      </c>
      <c r="C292" s="3"/>
      <c r="D292" s="3"/>
      <c r="E292" s="3"/>
      <c r="F292" s="3"/>
      <c r="G292" s="3"/>
      <c r="H292" s="1510" t="s">
        <v>2674</v>
      </c>
      <c r="I292" s="1491"/>
      <c r="J292" s="1491"/>
      <c r="K292" s="1491"/>
      <c r="L292" s="1491"/>
      <c r="M292" s="1491"/>
      <c r="N292" s="4"/>
      <c r="O292" s="4"/>
      <c r="P292" s="35"/>
      <c r="Q292" s="35"/>
      <c r="R292" s="35"/>
      <c r="S292" s="3"/>
      <c r="T292" s="3" t="s">
        <v>89</v>
      </c>
      <c r="V292" s="3"/>
      <c r="W292" s="3"/>
      <c r="X292" s="3"/>
      <c r="Y292" s="3"/>
      <c r="AA292" s="1510" t="s">
        <v>600</v>
      </c>
      <c r="AB292" s="1491"/>
      <c r="AC292" s="1491"/>
      <c r="AD292" s="1491"/>
      <c r="AE292" s="1491"/>
      <c r="AF292" s="1491"/>
      <c r="AG292" s="4"/>
      <c r="AH292" s="4"/>
      <c r="AI292" s="35"/>
      <c r="AJ292" s="35"/>
      <c r="AK292" s="35"/>
      <c r="BN292" s="34"/>
    </row>
    <row r="293" spans="2:66" ht="12.95" customHeight="1">
      <c r="B293" s="3" t="s">
        <v>76</v>
      </c>
      <c r="C293" s="3"/>
      <c r="D293" s="3"/>
      <c r="E293" s="3"/>
      <c r="F293" s="3"/>
      <c r="G293" s="3"/>
      <c r="H293" s="1404" t="s">
        <v>2660</v>
      </c>
      <c r="I293" s="1404"/>
      <c r="J293" s="1404"/>
      <c r="K293" s="1404"/>
      <c r="L293" s="1404"/>
      <c r="M293" s="1404"/>
      <c r="N293" s="1398"/>
      <c r="O293" s="1398"/>
      <c r="P293" s="1398"/>
      <c r="Q293" s="1398"/>
      <c r="R293" s="1398"/>
      <c r="S293" s="3"/>
      <c r="T293" s="3" t="s">
        <v>76</v>
      </c>
      <c r="V293" s="3"/>
      <c r="W293" s="3"/>
      <c r="X293" s="3"/>
      <c r="Y293" s="3"/>
      <c r="AA293" s="1404" t="s">
        <v>2680</v>
      </c>
      <c r="AB293" s="1404"/>
      <c r="AC293" s="1404"/>
      <c r="AD293" s="1404"/>
      <c r="AE293" s="1404"/>
      <c r="AF293" s="1404"/>
      <c r="AG293" s="1398"/>
      <c r="AH293" s="1398"/>
      <c r="AI293" s="1398"/>
      <c r="AJ293" s="1398"/>
      <c r="AK293" s="1398"/>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554" t="s">
        <v>2796</v>
      </c>
      <c r="I295" s="1398"/>
      <c r="J295" s="1398"/>
      <c r="K295" s="1398"/>
      <c r="L295" s="1398"/>
      <c r="M295" s="1398"/>
      <c r="N295" s="1398"/>
      <c r="O295" s="1398"/>
      <c r="P295" s="1398"/>
      <c r="Q295" s="1398"/>
      <c r="R295" s="1398"/>
      <c r="T295" s="3" t="s">
        <v>365</v>
      </c>
      <c r="V295" s="3"/>
      <c r="W295" s="3"/>
      <c r="X295" s="3"/>
      <c r="Y295" s="3"/>
      <c r="AA295" s="1398" t="s">
        <v>2687</v>
      </c>
      <c r="AB295" s="1398"/>
      <c r="AC295" s="1398"/>
      <c r="AD295" s="1398"/>
      <c r="AE295" s="1398"/>
      <c r="AF295" s="1398"/>
      <c r="AG295" s="1398"/>
      <c r="AH295" s="1398"/>
      <c r="AI295" s="1398"/>
      <c r="AJ295" s="1398"/>
      <c r="AK295" s="1398"/>
      <c r="BN295" s="34"/>
    </row>
    <row r="296" spans="2:66" ht="12.95" customHeight="1">
      <c r="B296" s="3" t="s">
        <v>480</v>
      </c>
      <c r="C296" s="3"/>
      <c r="D296" s="3"/>
      <c r="E296" s="3"/>
      <c r="F296" s="3"/>
      <c r="H296" s="1404" t="s">
        <v>2681</v>
      </c>
      <c r="I296" s="1404"/>
      <c r="J296" s="1404"/>
      <c r="K296" s="1404"/>
      <c r="L296" s="1404"/>
      <c r="M296" s="1404"/>
      <c r="N296" s="1404"/>
      <c r="O296" s="1404"/>
      <c r="P296" s="1404"/>
      <c r="Q296" s="1404"/>
      <c r="R296" s="1404"/>
      <c r="T296" s="3" t="s">
        <v>480</v>
      </c>
      <c r="V296" s="3"/>
      <c r="W296" s="3"/>
      <c r="X296" s="3"/>
      <c r="Y296" s="3"/>
      <c r="AA296" s="1404"/>
      <c r="AB296" s="1404"/>
      <c r="AC296" s="1404"/>
      <c r="AD296" s="1404"/>
      <c r="AE296" s="1404"/>
      <c r="AF296" s="1404"/>
      <c r="AG296" s="1404"/>
      <c r="AH296" s="1404"/>
      <c r="AI296" s="1404"/>
      <c r="AJ296" s="1404"/>
      <c r="AK296" s="1404"/>
      <c r="BN296" s="34"/>
    </row>
    <row r="297" spans="2:66" ht="12.95" customHeight="1">
      <c r="B297" s="3" t="s">
        <v>481</v>
      </c>
      <c r="C297" s="3"/>
      <c r="D297" s="3"/>
      <c r="E297" s="3"/>
      <c r="F297" s="3"/>
      <c r="H297" s="1404" t="s">
        <v>2682</v>
      </c>
      <c r="I297" s="1404"/>
      <c r="J297" s="1404"/>
      <c r="K297" s="1404"/>
      <c r="L297" s="1404"/>
      <c r="M297" s="1404"/>
      <c r="N297" s="1404"/>
      <c r="O297" s="1404"/>
      <c r="P297" s="1404"/>
      <c r="Q297" s="1404"/>
      <c r="R297" s="1404"/>
      <c r="T297" s="3" t="s">
        <v>75</v>
      </c>
      <c r="V297" s="3"/>
      <c r="W297" s="3"/>
      <c r="X297" s="3"/>
      <c r="Y297" s="3"/>
      <c r="AA297" s="1404"/>
      <c r="AB297" s="1404"/>
      <c r="AC297" s="1404"/>
      <c r="AD297" s="1404"/>
      <c r="AE297" s="1404"/>
      <c r="AF297" s="1404"/>
      <c r="AG297" s="1404"/>
      <c r="AH297" s="1404"/>
      <c r="AI297" s="1404"/>
      <c r="AJ297" s="1404"/>
      <c r="AK297" s="1404"/>
      <c r="BN297" s="34"/>
    </row>
    <row r="298" spans="2:66" ht="12.95" customHeight="1">
      <c r="B298" s="3" t="s">
        <v>87</v>
      </c>
      <c r="C298" s="3"/>
      <c r="D298" s="3"/>
      <c r="E298" s="3"/>
      <c r="F298" s="3"/>
      <c r="H298" s="1404" t="s">
        <v>2683</v>
      </c>
      <c r="I298" s="1404"/>
      <c r="J298" s="1404"/>
      <c r="K298" s="1404"/>
      <c r="L298" s="1404"/>
      <c r="M298" s="1404"/>
      <c r="N298" s="1404"/>
      <c r="O298" s="1404"/>
      <c r="P298" s="1404"/>
      <c r="Q298" s="1404"/>
      <c r="R298" s="1404"/>
      <c r="T298" s="3" t="s">
        <v>87</v>
      </c>
      <c r="V298" s="3"/>
      <c r="W298" s="3"/>
      <c r="X298" s="3"/>
      <c r="Y298" s="3"/>
      <c r="AA298" s="1404"/>
      <c r="AB298" s="1404"/>
      <c r="AC298" s="1404"/>
      <c r="AD298" s="1404"/>
      <c r="AE298" s="1404"/>
      <c r="AF298" s="1404"/>
      <c r="AG298" s="1404"/>
      <c r="AH298" s="1404"/>
      <c r="AI298" s="1404"/>
      <c r="AJ298" s="1404"/>
      <c r="AK298" s="1404"/>
      <c r="BN298" s="34"/>
    </row>
    <row r="299" spans="2:66" ht="12.95" customHeight="1">
      <c r="B299" s="3" t="s">
        <v>88</v>
      </c>
      <c r="C299" s="3"/>
      <c r="D299" s="3"/>
      <c r="E299" s="3"/>
      <c r="F299" s="3"/>
      <c r="G299" s="3"/>
      <c r="H299" s="1549" t="s">
        <v>2684</v>
      </c>
      <c r="I299" s="1548"/>
      <c r="J299" s="1548"/>
      <c r="K299" s="1548"/>
      <c r="L299" s="1548"/>
      <c r="M299" s="1548"/>
      <c r="N299" s="4" t="s">
        <v>207</v>
      </c>
      <c r="O299" s="4"/>
      <c r="P299" s="1509"/>
      <c r="Q299" s="1509"/>
      <c r="R299" s="1509"/>
      <c r="S299" s="3"/>
      <c r="T299" s="3" t="s">
        <v>88</v>
      </c>
      <c r="V299" s="3"/>
      <c r="W299" s="3"/>
      <c r="X299" s="3"/>
      <c r="Y299" s="3"/>
      <c r="AA299" s="1548"/>
      <c r="AB299" s="1548"/>
      <c r="AC299" s="1548"/>
      <c r="AD299" s="1548"/>
      <c r="AE299" s="1548"/>
      <c r="AF299" s="1548"/>
      <c r="AG299" s="4" t="s">
        <v>207</v>
      </c>
      <c r="AH299" s="4"/>
      <c r="AI299" s="1509"/>
      <c r="AJ299" s="1509"/>
      <c r="AK299" s="1509"/>
      <c r="BN299" s="34"/>
    </row>
    <row r="300" spans="2:66" ht="12.95" customHeight="1">
      <c r="B300" s="3" t="s">
        <v>89</v>
      </c>
      <c r="C300" s="3"/>
      <c r="D300" s="3"/>
      <c r="E300" s="3"/>
      <c r="F300" s="3"/>
      <c r="G300" s="3"/>
      <c r="H300" s="1510" t="s">
        <v>2685</v>
      </c>
      <c r="I300" s="1491"/>
      <c r="J300" s="1491"/>
      <c r="K300" s="1491"/>
      <c r="L300" s="1491"/>
      <c r="M300" s="1491"/>
      <c r="N300" s="4"/>
      <c r="O300" s="4"/>
      <c r="P300" s="35"/>
      <c r="Q300" s="35"/>
      <c r="R300" s="35"/>
      <c r="S300" s="3"/>
      <c r="T300" s="3" t="s">
        <v>89</v>
      </c>
      <c r="V300" s="3"/>
      <c r="W300" s="3"/>
      <c r="X300" s="3"/>
      <c r="Y300" s="3"/>
      <c r="AA300" s="1491"/>
      <c r="AB300" s="1491"/>
      <c r="AC300" s="1491"/>
      <c r="AD300" s="1491"/>
      <c r="AE300" s="1491"/>
      <c r="AF300" s="1491"/>
      <c r="AG300" s="4"/>
      <c r="AH300" s="4"/>
      <c r="AI300" s="35"/>
      <c r="AJ300" s="35"/>
      <c r="AK300" s="35"/>
      <c r="BN300" s="34"/>
    </row>
    <row r="301" spans="2:66" ht="12.95" customHeight="1">
      <c r="B301" s="3" t="s">
        <v>76</v>
      </c>
      <c r="C301" s="3"/>
      <c r="D301" s="3"/>
      <c r="E301" s="3"/>
      <c r="F301" s="3"/>
      <c r="G301" s="3"/>
      <c r="H301" s="1404" t="s">
        <v>2686</v>
      </c>
      <c r="I301" s="1404"/>
      <c r="J301" s="1404"/>
      <c r="K301" s="1404"/>
      <c r="L301" s="1404"/>
      <c r="M301" s="1404"/>
      <c r="N301" s="1398"/>
      <c r="O301" s="1398"/>
      <c r="P301" s="1398"/>
      <c r="Q301" s="1398"/>
      <c r="R301" s="1398"/>
      <c r="S301" s="3"/>
      <c r="T301" s="3" t="s">
        <v>76</v>
      </c>
      <c r="V301" s="3"/>
      <c r="W301" s="3"/>
      <c r="X301" s="3"/>
      <c r="Y301" s="3"/>
      <c r="AA301" s="1404"/>
      <c r="AB301" s="1404"/>
      <c r="AC301" s="1404"/>
      <c r="AD301" s="1404"/>
      <c r="AE301" s="1404"/>
      <c r="AF301" s="1404"/>
      <c r="AG301" s="1398"/>
      <c r="AH301" s="1398"/>
      <c r="AI301" s="1398"/>
      <c r="AJ301" s="1398"/>
      <c r="AK301" s="1398"/>
      <c r="BN301" s="34"/>
    </row>
    <row r="302" spans="2:66" ht="12.95" customHeight="1">
      <c r="BN302" s="34"/>
    </row>
    <row r="303" spans="2:66" ht="12.95" customHeight="1">
      <c r="B303" s="3" t="s">
        <v>77</v>
      </c>
      <c r="C303" s="3"/>
      <c r="D303" s="3"/>
      <c r="E303" s="3"/>
      <c r="F303" s="3"/>
      <c r="H303" s="1398" t="s">
        <v>2688</v>
      </c>
      <c r="I303" s="1398"/>
      <c r="J303" s="1398"/>
      <c r="K303" s="1398"/>
      <c r="L303" s="1398"/>
      <c r="M303" s="1398"/>
      <c r="N303" s="1398"/>
      <c r="O303" s="1398"/>
      <c r="P303" s="1398"/>
      <c r="Q303" s="1398"/>
      <c r="R303" s="1398"/>
      <c r="T303" s="4" t="s">
        <v>891</v>
      </c>
      <c r="V303" s="3"/>
      <c r="W303" s="3"/>
      <c r="X303" s="3"/>
      <c r="Y303" s="3"/>
      <c r="AA303" s="1554" t="s">
        <v>2788</v>
      </c>
      <c r="AB303" s="1398"/>
      <c r="AC303" s="1398"/>
      <c r="AD303" s="1398"/>
      <c r="AE303" s="1398"/>
      <c r="AF303" s="1398"/>
      <c r="AG303" s="1398"/>
      <c r="AH303" s="1398"/>
      <c r="AI303" s="1398"/>
      <c r="AJ303" s="1398"/>
      <c r="AK303" s="1398"/>
      <c r="BN303" s="34"/>
    </row>
    <row r="304" spans="2:66" ht="12.95" customHeight="1">
      <c r="B304" s="3" t="s">
        <v>480</v>
      </c>
      <c r="C304" s="3"/>
      <c r="D304" s="3"/>
      <c r="E304" s="3"/>
      <c r="F304" s="3"/>
      <c r="H304" s="1404" t="s">
        <v>2689</v>
      </c>
      <c r="I304" s="1404"/>
      <c r="J304" s="1404"/>
      <c r="K304" s="1404"/>
      <c r="L304" s="1404"/>
      <c r="M304" s="1404"/>
      <c r="N304" s="1404"/>
      <c r="O304" s="1404"/>
      <c r="P304" s="1404"/>
      <c r="Q304" s="1404"/>
      <c r="R304" s="1404"/>
      <c r="T304" s="3" t="s">
        <v>480</v>
      </c>
      <c r="V304" s="3"/>
      <c r="W304" s="3"/>
      <c r="X304" s="3"/>
      <c r="Y304" s="3"/>
      <c r="AA304" s="1404" t="s">
        <v>2694</v>
      </c>
      <c r="AB304" s="1404"/>
      <c r="AC304" s="1404"/>
      <c r="AD304" s="1404"/>
      <c r="AE304" s="1404"/>
      <c r="AF304" s="1404"/>
      <c r="AG304" s="1404"/>
      <c r="AH304" s="1404"/>
      <c r="AI304" s="1404"/>
      <c r="AJ304" s="1404"/>
      <c r="AK304" s="1404"/>
      <c r="BN304" s="34"/>
    </row>
    <row r="305" spans="2:66" ht="12.95" customHeight="1">
      <c r="B305" s="3" t="s">
        <v>481</v>
      </c>
      <c r="C305" s="3"/>
      <c r="D305" s="3"/>
      <c r="E305" s="3"/>
      <c r="F305" s="3"/>
      <c r="H305" s="1404" t="s">
        <v>2690</v>
      </c>
      <c r="I305" s="1404"/>
      <c r="J305" s="1404"/>
      <c r="K305" s="1404"/>
      <c r="L305" s="1404"/>
      <c r="M305" s="1404"/>
      <c r="N305" s="1404"/>
      <c r="O305" s="1404"/>
      <c r="P305" s="1404"/>
      <c r="Q305" s="1404"/>
      <c r="R305" s="1404"/>
      <c r="T305" s="3" t="s">
        <v>75</v>
      </c>
      <c r="V305" s="3"/>
      <c r="W305" s="3"/>
      <c r="X305" s="3"/>
      <c r="Y305" s="3"/>
      <c r="AA305" s="1404" t="s">
        <v>2695</v>
      </c>
      <c r="AB305" s="1404"/>
      <c r="AC305" s="1404"/>
      <c r="AD305" s="1404"/>
      <c r="AE305" s="1404"/>
      <c r="AF305" s="1404"/>
      <c r="AG305" s="1404"/>
      <c r="AH305" s="1404"/>
      <c r="AI305" s="1404"/>
      <c r="AJ305" s="1404"/>
      <c r="AK305" s="1404"/>
      <c r="BN305" s="34"/>
    </row>
    <row r="306" spans="2:66" ht="12.95" customHeight="1">
      <c r="B306" s="3" t="s">
        <v>87</v>
      </c>
      <c r="C306" s="3"/>
      <c r="D306" s="3"/>
      <c r="E306" s="3"/>
      <c r="F306" s="3"/>
      <c r="H306" s="1404" t="s">
        <v>2691</v>
      </c>
      <c r="I306" s="1404"/>
      <c r="J306" s="1404"/>
      <c r="K306" s="1404"/>
      <c r="L306" s="1404"/>
      <c r="M306" s="1404"/>
      <c r="N306" s="1404"/>
      <c r="O306" s="1404"/>
      <c r="P306" s="1404"/>
      <c r="Q306" s="1404"/>
      <c r="R306" s="1404"/>
      <c r="T306" s="3" t="s">
        <v>87</v>
      </c>
      <c r="V306" s="3"/>
      <c r="W306" s="3"/>
      <c r="X306" s="3"/>
      <c r="Y306" s="3"/>
      <c r="AA306" s="1404" t="s">
        <v>2696</v>
      </c>
      <c r="AB306" s="1404"/>
      <c r="AC306" s="1404"/>
      <c r="AD306" s="1404"/>
      <c r="AE306" s="1404"/>
      <c r="AF306" s="1404"/>
      <c r="AG306" s="1404"/>
      <c r="AH306" s="1404"/>
      <c r="AI306" s="1404"/>
      <c r="AJ306" s="1404"/>
      <c r="AK306" s="1404"/>
      <c r="BN306" s="34"/>
    </row>
    <row r="307" spans="2:66" ht="12.95" customHeight="1">
      <c r="B307" s="3" t="s">
        <v>88</v>
      </c>
      <c r="C307" s="3"/>
      <c r="D307" s="3"/>
      <c r="E307" s="3"/>
      <c r="F307" s="3"/>
      <c r="G307" s="3"/>
      <c r="H307" s="1549" t="s">
        <v>2692</v>
      </c>
      <c r="I307" s="1548"/>
      <c r="J307" s="1548"/>
      <c r="K307" s="1548"/>
      <c r="L307" s="1548"/>
      <c r="M307" s="1548"/>
      <c r="N307" s="4" t="s">
        <v>207</v>
      </c>
      <c r="O307" s="4"/>
      <c r="P307" s="1509"/>
      <c r="Q307" s="1509"/>
      <c r="R307" s="1509"/>
      <c r="S307" s="3"/>
      <c r="T307" s="3" t="s">
        <v>88</v>
      </c>
      <c r="V307" s="3"/>
      <c r="W307" s="3"/>
      <c r="X307" s="3"/>
      <c r="Y307" s="3"/>
      <c r="AA307" s="1549" t="s">
        <v>2697</v>
      </c>
      <c r="AB307" s="1548"/>
      <c r="AC307" s="1548"/>
      <c r="AD307" s="1548"/>
      <c r="AE307" s="1548"/>
      <c r="AF307" s="1548"/>
      <c r="AG307" s="4" t="s">
        <v>207</v>
      </c>
      <c r="AH307" s="4"/>
      <c r="AI307" s="1509"/>
      <c r="AJ307" s="1509"/>
      <c r="AK307" s="1509"/>
      <c r="BN307" s="34"/>
    </row>
    <row r="308" spans="2:66" ht="12.95" customHeight="1">
      <c r="B308" s="3" t="s">
        <v>89</v>
      </c>
      <c r="C308" s="3"/>
      <c r="D308" s="3"/>
      <c r="E308" s="3"/>
      <c r="F308" s="3"/>
      <c r="G308" s="3"/>
      <c r="H308" s="1510" t="s">
        <v>600</v>
      </c>
      <c r="I308" s="1491"/>
      <c r="J308" s="1491"/>
      <c r="K308" s="1491"/>
      <c r="L308" s="1491"/>
      <c r="M308" s="1491"/>
      <c r="N308" s="4"/>
      <c r="O308" s="4"/>
      <c r="P308" s="35"/>
      <c r="Q308" s="35"/>
      <c r="R308" s="35"/>
      <c r="S308" s="3"/>
      <c r="T308" s="3" t="s">
        <v>89</v>
      </c>
      <c r="V308" s="3"/>
      <c r="W308" s="3"/>
      <c r="X308" s="3"/>
      <c r="Y308" s="3"/>
      <c r="AA308" s="1510" t="s">
        <v>600</v>
      </c>
      <c r="AB308" s="1491"/>
      <c r="AC308" s="1491"/>
      <c r="AD308" s="1491"/>
      <c r="AE308" s="1491"/>
      <c r="AF308" s="1491"/>
      <c r="AG308" s="4"/>
      <c r="AH308" s="4"/>
      <c r="AI308" s="35"/>
      <c r="AJ308" s="35"/>
      <c r="AK308" s="35"/>
      <c r="BN308" s="34"/>
    </row>
    <row r="309" spans="2:66" ht="12.95" customHeight="1">
      <c r="B309" s="3" t="s">
        <v>76</v>
      </c>
      <c r="C309" s="3"/>
      <c r="D309" s="3"/>
      <c r="E309" s="3"/>
      <c r="F309" s="3"/>
      <c r="G309" s="3"/>
      <c r="H309" s="1404" t="s">
        <v>2693</v>
      </c>
      <c r="I309" s="1404"/>
      <c r="J309" s="1404"/>
      <c r="K309" s="1404"/>
      <c r="L309" s="1404"/>
      <c r="M309" s="1404"/>
      <c r="N309" s="1398"/>
      <c r="O309" s="1398"/>
      <c r="P309" s="1398"/>
      <c r="Q309" s="1398"/>
      <c r="R309" s="1398"/>
      <c r="S309" s="3"/>
      <c r="T309" s="3" t="s">
        <v>76</v>
      </c>
      <c r="V309" s="3"/>
      <c r="W309" s="3"/>
      <c r="X309" s="3"/>
      <c r="Y309" s="3"/>
      <c r="AA309" s="1404" t="s">
        <v>2698</v>
      </c>
      <c r="AB309" s="1404"/>
      <c r="AC309" s="1404"/>
      <c r="AD309" s="1404"/>
      <c r="AE309" s="1404"/>
      <c r="AF309" s="1404"/>
      <c r="AG309" s="1398"/>
      <c r="AH309" s="1398"/>
      <c r="AI309" s="1398"/>
      <c r="AJ309" s="1398"/>
      <c r="AK309" s="1398"/>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923</v>
      </c>
      <c r="C311" s="3"/>
      <c r="D311" s="3"/>
      <c r="E311" s="3"/>
      <c r="F311" s="3"/>
      <c r="H311" s="1398" t="s">
        <v>2688</v>
      </c>
      <c r="I311" s="1398"/>
      <c r="J311" s="1398"/>
      <c r="K311" s="1398"/>
      <c r="L311" s="1398"/>
      <c r="M311" s="1398"/>
      <c r="N311" s="1398"/>
      <c r="O311" s="1398"/>
      <c r="P311" s="1398"/>
      <c r="Q311" s="1398"/>
      <c r="R311" s="1398"/>
      <c r="S311" s="3"/>
      <c r="T311" s="3" t="s">
        <v>366</v>
      </c>
      <c r="V311" s="3"/>
      <c r="W311" s="3"/>
      <c r="X311" s="3"/>
      <c r="Y311" s="3"/>
      <c r="AA311" s="1398" t="s">
        <v>2699</v>
      </c>
      <c r="AB311" s="1398"/>
      <c r="AC311" s="1398"/>
      <c r="AD311" s="1398"/>
      <c r="AE311" s="1398"/>
      <c r="AF311" s="1398"/>
      <c r="AG311" s="1398"/>
      <c r="AH311" s="1398"/>
      <c r="AI311" s="1398"/>
      <c r="AJ311" s="1398"/>
      <c r="AK311" s="1398"/>
      <c r="BN311" s="34"/>
    </row>
    <row r="312" spans="2:66" ht="12.95" customHeight="1">
      <c r="B312" s="3" t="s">
        <v>480</v>
      </c>
      <c r="C312" s="3"/>
      <c r="D312" s="3"/>
      <c r="E312" s="3"/>
      <c r="F312" s="3"/>
      <c r="H312" s="1404" t="s">
        <v>2689</v>
      </c>
      <c r="I312" s="1404"/>
      <c r="J312" s="1404"/>
      <c r="K312" s="1404"/>
      <c r="L312" s="1404"/>
      <c r="M312" s="1404"/>
      <c r="N312" s="1404"/>
      <c r="O312" s="1404"/>
      <c r="P312" s="1404"/>
      <c r="Q312" s="1404"/>
      <c r="R312" s="1404"/>
      <c r="S312" s="3"/>
      <c r="T312" s="3" t="s">
        <v>480</v>
      </c>
      <c r="V312" s="3"/>
      <c r="W312" s="3"/>
      <c r="X312" s="3"/>
      <c r="Y312" s="3"/>
      <c r="AA312" s="1404" t="s">
        <v>2700</v>
      </c>
      <c r="AB312" s="1404"/>
      <c r="AC312" s="1404"/>
      <c r="AD312" s="1404"/>
      <c r="AE312" s="1404"/>
      <c r="AF312" s="1404"/>
      <c r="AG312" s="1404"/>
      <c r="AH312" s="1404"/>
      <c r="AI312" s="1404"/>
      <c r="AJ312" s="1404"/>
      <c r="AK312" s="1404"/>
      <c r="BN312" s="34"/>
    </row>
    <row r="313" spans="2:66" ht="12.95" customHeight="1">
      <c r="B313" s="3" t="s">
        <v>481</v>
      </c>
      <c r="C313" s="3"/>
      <c r="D313" s="3"/>
      <c r="E313" s="3"/>
      <c r="F313" s="3"/>
      <c r="H313" s="1404" t="s">
        <v>2690</v>
      </c>
      <c r="I313" s="1404"/>
      <c r="J313" s="1404"/>
      <c r="K313" s="1404"/>
      <c r="L313" s="1404"/>
      <c r="M313" s="1404"/>
      <c r="N313" s="1404"/>
      <c r="O313" s="1404"/>
      <c r="P313" s="1404"/>
      <c r="Q313" s="1404"/>
      <c r="R313" s="1404"/>
      <c r="S313" s="3"/>
      <c r="T313" s="3" t="s">
        <v>75</v>
      </c>
      <c r="V313" s="3"/>
      <c r="W313" s="3"/>
      <c r="X313" s="3"/>
      <c r="Y313" s="3"/>
      <c r="AA313" s="1404" t="s">
        <v>2701</v>
      </c>
      <c r="AB313" s="1404"/>
      <c r="AC313" s="1404"/>
      <c r="AD313" s="1404"/>
      <c r="AE313" s="1404"/>
      <c r="AF313" s="1404"/>
      <c r="AG313" s="1404"/>
      <c r="AH313" s="1404"/>
      <c r="AI313" s="1404"/>
      <c r="AJ313" s="1404"/>
      <c r="AK313" s="1404"/>
      <c r="BN313" s="34"/>
    </row>
    <row r="314" spans="2:66" ht="12.95" customHeight="1">
      <c r="B314" s="3" t="s">
        <v>87</v>
      </c>
      <c r="C314" s="3"/>
      <c r="D314" s="3"/>
      <c r="E314" s="3"/>
      <c r="F314" s="3"/>
      <c r="H314" s="1404" t="s">
        <v>2691</v>
      </c>
      <c r="I314" s="1404"/>
      <c r="J314" s="1404"/>
      <c r="K314" s="1404"/>
      <c r="L314" s="1404"/>
      <c r="M314" s="1404"/>
      <c r="N314" s="1404"/>
      <c r="O314" s="1404"/>
      <c r="P314" s="1404"/>
      <c r="Q314" s="1404"/>
      <c r="R314" s="1404"/>
      <c r="S314" s="3"/>
      <c r="T314" s="3" t="s">
        <v>87</v>
      </c>
      <c r="V314" s="3"/>
      <c r="W314" s="3"/>
      <c r="X314" s="3"/>
      <c r="Y314" s="3"/>
      <c r="AA314" s="1404" t="s">
        <v>2702</v>
      </c>
      <c r="AB314" s="1404"/>
      <c r="AC314" s="1404"/>
      <c r="AD314" s="1404"/>
      <c r="AE314" s="1404"/>
      <c r="AF314" s="1404"/>
      <c r="AG314" s="1404"/>
      <c r="AH314" s="1404"/>
      <c r="AI314" s="1404"/>
      <c r="AJ314" s="1404"/>
      <c r="AK314" s="1404"/>
      <c r="BN314" s="34"/>
    </row>
    <row r="315" spans="2:66" ht="12.95" customHeight="1">
      <c r="B315" s="3" t="s">
        <v>88</v>
      </c>
      <c r="C315" s="3"/>
      <c r="D315" s="3"/>
      <c r="E315" s="3"/>
      <c r="F315" s="3"/>
      <c r="G315" s="3"/>
      <c r="H315" s="1548" t="s">
        <v>2692</v>
      </c>
      <c r="I315" s="1548"/>
      <c r="J315" s="1548"/>
      <c r="K315" s="1548"/>
      <c r="L315" s="1548"/>
      <c r="M315" s="1548"/>
      <c r="N315" s="4" t="s">
        <v>207</v>
      </c>
      <c r="O315" s="4"/>
      <c r="P315" s="1509"/>
      <c r="Q315" s="1509"/>
      <c r="R315" s="1509"/>
      <c r="S315" s="3"/>
      <c r="T315" s="3" t="s">
        <v>88</v>
      </c>
      <c r="V315" s="3"/>
      <c r="W315" s="3"/>
      <c r="X315" s="3"/>
      <c r="Y315" s="3"/>
      <c r="AA315" s="1549" t="s">
        <v>2703</v>
      </c>
      <c r="AB315" s="1548"/>
      <c r="AC315" s="1548"/>
      <c r="AD315" s="1548"/>
      <c r="AE315" s="1548"/>
      <c r="AF315" s="1548"/>
      <c r="AG315" s="4" t="s">
        <v>207</v>
      </c>
      <c r="AH315" s="4"/>
      <c r="AI315" s="1509"/>
      <c r="AJ315" s="1509"/>
      <c r="AK315" s="1509"/>
      <c r="BN315" s="34"/>
    </row>
    <row r="316" spans="2:66" ht="12.95" customHeight="1">
      <c r="B316" s="3" t="s">
        <v>89</v>
      </c>
      <c r="C316" s="3"/>
      <c r="D316" s="3"/>
      <c r="E316" s="3"/>
      <c r="F316" s="3"/>
      <c r="G316" s="3"/>
      <c r="H316" s="1510" t="s">
        <v>600</v>
      </c>
      <c r="I316" s="1491"/>
      <c r="J316" s="1491"/>
      <c r="K316" s="1491"/>
      <c r="L316" s="1491"/>
      <c r="M316" s="1491"/>
      <c r="N316" s="4"/>
      <c r="O316" s="4"/>
      <c r="P316" s="35"/>
      <c r="Q316" s="35"/>
      <c r="R316" s="35"/>
      <c r="S316" s="3"/>
      <c r="T316" s="3" t="s">
        <v>89</v>
      </c>
      <c r="V316" s="3"/>
      <c r="W316" s="3"/>
      <c r="X316" s="3"/>
      <c r="Y316" s="3"/>
      <c r="AA316" s="1510" t="s">
        <v>600</v>
      </c>
      <c r="AB316" s="1491"/>
      <c r="AC316" s="1491"/>
      <c r="AD316" s="1491"/>
      <c r="AE316" s="1491"/>
      <c r="AF316" s="1491"/>
      <c r="AG316" s="4"/>
      <c r="AH316" s="4"/>
      <c r="AI316" s="35"/>
      <c r="AJ316" s="35"/>
      <c r="AK316" s="35"/>
      <c r="BN316" s="34"/>
    </row>
    <row r="317" spans="2:66" ht="12.95" customHeight="1">
      <c r="B317" s="3" t="s">
        <v>76</v>
      </c>
      <c r="C317" s="3"/>
      <c r="D317" s="3"/>
      <c r="E317" s="3"/>
      <c r="F317" s="3"/>
      <c r="G317" s="3"/>
      <c r="H317" s="1404" t="s">
        <v>2693</v>
      </c>
      <c r="I317" s="1404"/>
      <c r="J317" s="1404"/>
      <c r="K317" s="1404"/>
      <c r="L317" s="1404"/>
      <c r="M317" s="1404"/>
      <c r="N317" s="1398"/>
      <c r="O317" s="1398"/>
      <c r="P317" s="1398"/>
      <c r="Q317" s="1398"/>
      <c r="R317" s="1398"/>
      <c r="S317" s="3"/>
      <c r="T317" s="3" t="s">
        <v>76</v>
      </c>
      <c r="V317" s="3"/>
      <c r="W317" s="3"/>
      <c r="X317" s="3"/>
      <c r="Y317" s="3"/>
      <c r="AA317" s="1404" t="s">
        <v>2704</v>
      </c>
      <c r="AB317" s="1404"/>
      <c r="AC317" s="1404"/>
      <c r="AD317" s="1404"/>
      <c r="AE317" s="1404"/>
      <c r="AF317" s="1404"/>
      <c r="AG317" s="1398"/>
      <c r="AH317" s="1398"/>
      <c r="AI317" s="1398"/>
      <c r="AJ317" s="1398"/>
      <c r="AK317" s="1398"/>
      <c r="BN317" s="34"/>
    </row>
    <row r="318" spans="2:66" ht="12.95" customHeight="1">
      <c r="BN318" s="34"/>
    </row>
    <row r="319" spans="2:66" ht="12.95" customHeight="1">
      <c r="B319" s="4" t="s">
        <v>924</v>
      </c>
      <c r="C319" s="3"/>
      <c r="D319" s="3"/>
      <c r="E319" s="3"/>
      <c r="F319" s="3"/>
      <c r="H319" s="1398" t="s">
        <v>600</v>
      </c>
      <c r="I319" s="1398"/>
      <c r="J319" s="1398"/>
      <c r="K319" s="1398"/>
      <c r="L319" s="1398"/>
      <c r="M319" s="1398"/>
      <c r="N319" s="1398"/>
      <c r="O319" s="1398"/>
      <c r="P319" s="1398"/>
      <c r="Q319" s="1398"/>
      <c r="R319" s="1398"/>
      <c r="T319" s="3" t="s">
        <v>367</v>
      </c>
      <c r="V319" s="3"/>
      <c r="W319" s="3"/>
      <c r="X319" s="3"/>
      <c r="Y319" s="3"/>
      <c r="AA319" s="1398" t="s">
        <v>2705</v>
      </c>
      <c r="AB319" s="1398"/>
      <c r="AC319" s="1398"/>
      <c r="AD319" s="1398"/>
      <c r="AE319" s="1398"/>
      <c r="AF319" s="1398"/>
      <c r="AG319" s="1398"/>
      <c r="AH319" s="1398"/>
      <c r="AI319" s="1398"/>
      <c r="AJ319" s="1398"/>
      <c r="AK319" s="1398"/>
      <c r="BN319" s="34"/>
    </row>
    <row r="320" spans="2:66" ht="12.95" customHeight="1">
      <c r="B320" s="3" t="s">
        <v>480</v>
      </c>
      <c r="C320" s="3"/>
      <c r="D320" s="3"/>
      <c r="E320" s="3"/>
      <c r="F320" s="3"/>
      <c r="H320" s="1404"/>
      <c r="I320" s="1404"/>
      <c r="J320" s="1404"/>
      <c r="K320" s="1404"/>
      <c r="L320" s="1404"/>
      <c r="M320" s="1404"/>
      <c r="N320" s="1404"/>
      <c r="O320" s="1404"/>
      <c r="P320" s="1404"/>
      <c r="Q320" s="1404"/>
      <c r="R320" s="1404"/>
      <c r="T320" s="3" t="s">
        <v>480</v>
      </c>
      <c r="V320" s="3"/>
      <c r="W320" s="3"/>
      <c r="X320" s="3"/>
      <c r="Y320" s="3"/>
      <c r="AA320" s="1404" t="s">
        <v>2706</v>
      </c>
      <c r="AB320" s="1404"/>
      <c r="AC320" s="1404"/>
      <c r="AD320" s="1404"/>
      <c r="AE320" s="1404"/>
      <c r="AF320" s="1404"/>
      <c r="AG320" s="1404"/>
      <c r="AH320" s="1404"/>
      <c r="AI320" s="1404"/>
      <c r="AJ320" s="1404"/>
      <c r="AK320" s="1404"/>
      <c r="BN320" s="34"/>
    </row>
    <row r="321" spans="2:66" ht="12.95" customHeight="1">
      <c r="B321" s="3" t="s">
        <v>481</v>
      </c>
      <c r="C321" s="3"/>
      <c r="D321" s="3"/>
      <c r="E321" s="3"/>
      <c r="F321" s="3"/>
      <c r="H321" s="1404"/>
      <c r="I321" s="1404"/>
      <c r="J321" s="1404"/>
      <c r="K321" s="1404"/>
      <c r="L321" s="1404"/>
      <c r="M321" s="1404"/>
      <c r="N321" s="1404"/>
      <c r="O321" s="1404"/>
      <c r="P321" s="1404"/>
      <c r="Q321" s="1404"/>
      <c r="R321" s="1404"/>
      <c r="T321" s="3" t="s">
        <v>75</v>
      </c>
      <c r="V321" s="3"/>
      <c r="W321" s="3"/>
      <c r="X321" s="3"/>
      <c r="Y321" s="3"/>
      <c r="AA321" s="1404" t="s">
        <v>2707</v>
      </c>
      <c r="AB321" s="1404"/>
      <c r="AC321" s="1404"/>
      <c r="AD321" s="1404"/>
      <c r="AE321" s="1404"/>
      <c r="AF321" s="1404"/>
      <c r="AG321" s="1404"/>
      <c r="AH321" s="1404"/>
      <c r="AI321" s="1404"/>
      <c r="AJ321" s="1404"/>
      <c r="AK321" s="1404"/>
      <c r="BN321" s="34"/>
    </row>
    <row r="322" spans="2:66" ht="12.95" customHeight="1">
      <c r="B322" s="3" t="s">
        <v>87</v>
      </c>
      <c r="C322" s="3"/>
      <c r="D322" s="3"/>
      <c r="E322" s="3"/>
      <c r="F322" s="3"/>
      <c r="H322" s="1404"/>
      <c r="I322" s="1404"/>
      <c r="J322" s="1404"/>
      <c r="K322" s="1404"/>
      <c r="L322" s="1404"/>
      <c r="M322" s="1404"/>
      <c r="N322" s="1404"/>
      <c r="O322" s="1404"/>
      <c r="P322" s="1404"/>
      <c r="Q322" s="1404"/>
      <c r="R322" s="1404"/>
      <c r="T322" s="3" t="s">
        <v>87</v>
      </c>
      <c r="V322" s="3"/>
      <c r="W322" s="3"/>
      <c r="X322" s="3"/>
      <c r="Y322" s="3"/>
      <c r="AA322" s="1404" t="s">
        <v>2708</v>
      </c>
      <c r="AB322" s="1404"/>
      <c r="AC322" s="1404"/>
      <c r="AD322" s="1404"/>
      <c r="AE322" s="1404"/>
      <c r="AF322" s="1404"/>
      <c r="AG322" s="1404"/>
      <c r="AH322" s="1404"/>
      <c r="AI322" s="1404"/>
      <c r="AJ322" s="1404"/>
      <c r="AK322" s="1404"/>
      <c r="BN322" s="34"/>
    </row>
    <row r="323" spans="2:66" ht="12.95" customHeight="1">
      <c r="B323" s="3" t="s">
        <v>88</v>
      </c>
      <c r="C323" s="3"/>
      <c r="D323" s="3"/>
      <c r="E323" s="3"/>
      <c r="F323" s="3"/>
      <c r="G323" s="3"/>
      <c r="H323" s="1548"/>
      <c r="I323" s="1548"/>
      <c r="J323" s="1548"/>
      <c r="K323" s="1548"/>
      <c r="L323" s="1548"/>
      <c r="M323" s="1548"/>
      <c r="N323" s="4" t="s">
        <v>207</v>
      </c>
      <c r="O323" s="4"/>
      <c r="P323" s="1509"/>
      <c r="Q323" s="1509"/>
      <c r="R323" s="1509"/>
      <c r="S323" s="3"/>
      <c r="T323" s="3" t="s">
        <v>88</v>
      </c>
      <c r="V323" s="3"/>
      <c r="W323" s="3"/>
      <c r="X323" s="3"/>
      <c r="Y323" s="3"/>
      <c r="AA323" s="1549" t="s">
        <v>2709</v>
      </c>
      <c r="AB323" s="1548"/>
      <c r="AC323" s="1548"/>
      <c r="AD323" s="1548"/>
      <c r="AE323" s="1548"/>
      <c r="AF323" s="1548"/>
      <c r="AG323" s="4" t="s">
        <v>207</v>
      </c>
      <c r="AH323" s="4"/>
      <c r="AI323" s="1509"/>
      <c r="AJ323" s="1509"/>
      <c r="AK323" s="1509"/>
    </row>
    <row r="324" spans="2:66" ht="12.95" customHeight="1">
      <c r="B324" s="3" t="s">
        <v>89</v>
      </c>
      <c r="C324" s="3"/>
      <c r="D324" s="3"/>
      <c r="E324" s="3"/>
      <c r="F324" s="3"/>
      <c r="G324" s="3"/>
      <c r="H324" s="1491"/>
      <c r="I324" s="1491"/>
      <c r="J324" s="1491"/>
      <c r="K324" s="1491"/>
      <c r="L324" s="1491"/>
      <c r="M324" s="1491"/>
      <c r="N324" s="4"/>
      <c r="O324" s="4"/>
      <c r="P324" s="35"/>
      <c r="Q324" s="35"/>
      <c r="R324" s="35"/>
      <c r="S324" s="3"/>
      <c r="T324" s="3" t="s">
        <v>89</v>
      </c>
      <c r="V324" s="3"/>
      <c r="W324" s="3"/>
      <c r="X324" s="3"/>
      <c r="Y324" s="3"/>
      <c r="AA324" s="1510" t="s">
        <v>2710</v>
      </c>
      <c r="AB324" s="1491"/>
      <c r="AC324" s="1491"/>
      <c r="AD324" s="1491"/>
      <c r="AE324" s="1491"/>
      <c r="AF324" s="1491"/>
      <c r="AG324" s="4"/>
      <c r="AH324" s="4"/>
      <c r="AI324" s="35"/>
      <c r="AJ324" s="35"/>
      <c r="AK324" s="35"/>
    </row>
    <row r="325" spans="2:66" ht="12.95" customHeight="1">
      <c r="B325" s="3" t="s">
        <v>76</v>
      </c>
      <c r="C325" s="3"/>
      <c r="D325" s="3"/>
      <c r="E325" s="3"/>
      <c r="F325" s="3"/>
      <c r="G325" s="3"/>
      <c r="H325" s="1404"/>
      <c r="I325" s="1404"/>
      <c r="J325" s="1404"/>
      <c r="K325" s="1404"/>
      <c r="L325" s="1404"/>
      <c r="M325" s="1404"/>
      <c r="N325" s="1398"/>
      <c r="O325" s="1398"/>
      <c r="P325" s="1398"/>
      <c r="Q325" s="1398"/>
      <c r="R325" s="1398"/>
      <c r="S325" s="3"/>
      <c r="T325" s="3" t="s">
        <v>76</v>
      </c>
      <c r="V325" s="3"/>
      <c r="W325" s="3"/>
      <c r="X325" s="3"/>
      <c r="Y325" s="3"/>
      <c r="AA325" s="1404" t="s">
        <v>2711</v>
      </c>
      <c r="AB325" s="1404"/>
      <c r="AC325" s="1404"/>
      <c r="AD325" s="1404"/>
      <c r="AE325" s="1404"/>
      <c r="AF325" s="1404"/>
      <c r="AG325" s="1398"/>
      <c r="AH325" s="1398"/>
      <c r="AI325" s="1398"/>
      <c r="AJ325" s="1398"/>
      <c r="AK325" s="1398"/>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398" t="s">
        <v>2688</v>
      </c>
      <c r="I327" s="1398"/>
      <c r="J327" s="1398"/>
      <c r="K327" s="1398"/>
      <c r="L327" s="1398"/>
      <c r="M327" s="1398"/>
      <c r="N327" s="1398"/>
      <c r="O327" s="1398"/>
      <c r="P327" s="1398"/>
      <c r="Q327" s="1398"/>
      <c r="R327" s="1398"/>
      <c r="T327" s="3" t="s">
        <v>369</v>
      </c>
      <c r="V327" s="3"/>
      <c r="W327" s="3"/>
      <c r="X327" s="3"/>
      <c r="Y327" s="3"/>
      <c r="AA327" s="1398" t="s">
        <v>600</v>
      </c>
      <c r="AB327" s="1398"/>
      <c r="AC327" s="1398"/>
      <c r="AD327" s="1398"/>
      <c r="AE327" s="1398"/>
      <c r="AF327" s="1398"/>
      <c r="AG327" s="1398"/>
      <c r="AH327" s="1398"/>
      <c r="AI327" s="1398"/>
      <c r="AJ327" s="1398"/>
      <c r="AK327" s="1398"/>
    </row>
    <row r="328" spans="2:66" ht="12.95" customHeight="1">
      <c r="B328" s="3" t="s">
        <v>480</v>
      </c>
      <c r="C328" s="3"/>
      <c r="D328" s="3"/>
      <c r="E328" s="3"/>
      <c r="F328" s="3"/>
      <c r="H328" s="1404" t="s">
        <v>2712</v>
      </c>
      <c r="I328" s="1404"/>
      <c r="J328" s="1404"/>
      <c r="K328" s="1404"/>
      <c r="L328" s="1404"/>
      <c r="M328" s="1404"/>
      <c r="N328" s="1404"/>
      <c r="O328" s="1404"/>
      <c r="P328" s="1404"/>
      <c r="Q328" s="1404"/>
      <c r="R328" s="1404"/>
      <c r="T328" s="3" t="s">
        <v>480</v>
      </c>
      <c r="V328" s="3"/>
      <c r="W328" s="3"/>
      <c r="X328" s="3"/>
      <c r="Y328" s="3"/>
      <c r="AA328" s="1404"/>
      <c r="AB328" s="1404"/>
      <c r="AC328" s="1404"/>
      <c r="AD328" s="1404"/>
      <c r="AE328" s="1404"/>
      <c r="AF328" s="1404"/>
      <c r="AG328" s="1404"/>
      <c r="AH328" s="1404"/>
      <c r="AI328" s="1404"/>
      <c r="AJ328" s="1404"/>
      <c r="AK328" s="1404"/>
    </row>
    <row r="329" spans="2:66" ht="12.95" customHeight="1">
      <c r="B329" s="3" t="s">
        <v>481</v>
      </c>
      <c r="C329" s="3"/>
      <c r="D329" s="3"/>
      <c r="E329" s="3"/>
      <c r="F329" s="3"/>
      <c r="H329" s="1404" t="s">
        <v>2713</v>
      </c>
      <c r="I329" s="1404"/>
      <c r="J329" s="1404"/>
      <c r="K329" s="1404"/>
      <c r="L329" s="1404"/>
      <c r="M329" s="1404"/>
      <c r="N329" s="1404"/>
      <c r="O329" s="1404"/>
      <c r="P329" s="1404"/>
      <c r="Q329" s="1404"/>
      <c r="R329" s="1404"/>
      <c r="T329" s="3" t="s">
        <v>75</v>
      </c>
      <c r="V329" s="3"/>
      <c r="W329" s="3"/>
      <c r="X329" s="3"/>
      <c r="Y329" s="3"/>
      <c r="AA329" s="1404"/>
      <c r="AB329" s="1404"/>
      <c r="AC329" s="1404"/>
      <c r="AD329" s="1404"/>
      <c r="AE329" s="1404"/>
      <c r="AF329" s="1404"/>
      <c r="AG329" s="1404"/>
      <c r="AH329" s="1404"/>
      <c r="AI329" s="1404"/>
      <c r="AJ329" s="1404"/>
      <c r="AK329" s="1404"/>
    </row>
    <row r="330" spans="2:66" ht="12.95" customHeight="1">
      <c r="B330" s="3" t="s">
        <v>87</v>
      </c>
      <c r="C330" s="3"/>
      <c r="D330" s="3"/>
      <c r="E330" s="3"/>
      <c r="F330" s="3"/>
      <c r="H330" s="1404" t="s">
        <v>2714</v>
      </c>
      <c r="I330" s="1404"/>
      <c r="J330" s="1404"/>
      <c r="K330" s="1404"/>
      <c r="L330" s="1404"/>
      <c r="M330" s="1404"/>
      <c r="N330" s="1404"/>
      <c r="O330" s="1404"/>
      <c r="P330" s="1404"/>
      <c r="Q330" s="1404"/>
      <c r="R330" s="1404"/>
      <c r="T330" s="3" t="s">
        <v>87</v>
      </c>
      <c r="V330" s="3"/>
      <c r="W330" s="3"/>
      <c r="X330" s="3"/>
      <c r="Y330" s="3"/>
      <c r="AA330" s="1404"/>
      <c r="AB330" s="1404"/>
      <c r="AC330" s="1404"/>
      <c r="AD330" s="1404"/>
      <c r="AE330" s="1404"/>
      <c r="AF330" s="1404"/>
      <c r="AG330" s="1404"/>
      <c r="AH330" s="1404"/>
      <c r="AI330" s="1404"/>
      <c r="AJ330" s="1404"/>
      <c r="AK330" s="1404"/>
    </row>
    <row r="331" spans="2:66" ht="12.95" customHeight="1">
      <c r="B331" s="3" t="s">
        <v>88</v>
      </c>
      <c r="C331" s="3"/>
      <c r="D331" s="3"/>
      <c r="E331" s="3"/>
      <c r="F331" s="3"/>
      <c r="G331" s="3"/>
      <c r="H331" s="1549" t="s">
        <v>2715</v>
      </c>
      <c r="I331" s="1548"/>
      <c r="J331" s="1548"/>
      <c r="K331" s="1548"/>
      <c r="L331" s="1548"/>
      <c r="M331" s="1548"/>
      <c r="N331" s="4" t="s">
        <v>207</v>
      </c>
      <c r="O331" s="4"/>
      <c r="P331" s="1509"/>
      <c r="Q331" s="1509"/>
      <c r="R331" s="1509"/>
      <c r="S331" s="3"/>
      <c r="T331" s="3" t="s">
        <v>88</v>
      </c>
      <c r="V331" s="3"/>
      <c r="W331" s="3"/>
      <c r="X331" s="3"/>
      <c r="Y331" s="3"/>
      <c r="AA331" s="1548"/>
      <c r="AB331" s="1548"/>
      <c r="AC331" s="1548"/>
      <c r="AD331" s="1548"/>
      <c r="AE331" s="1548"/>
      <c r="AF331" s="1548"/>
      <c r="AG331" s="4" t="s">
        <v>207</v>
      </c>
      <c r="AH331" s="4"/>
      <c r="AI331" s="1509"/>
      <c r="AJ331" s="1509"/>
      <c r="AK331" s="1509"/>
    </row>
    <row r="332" spans="2:66" ht="12.95" customHeight="1">
      <c r="B332" s="3" t="s">
        <v>89</v>
      </c>
      <c r="C332" s="3"/>
      <c r="D332" s="3"/>
      <c r="E332" s="3"/>
      <c r="F332" s="3"/>
      <c r="G332" s="3"/>
      <c r="H332" s="1510" t="s">
        <v>600</v>
      </c>
      <c r="I332" s="1491"/>
      <c r="J332" s="1491"/>
      <c r="K332" s="1491"/>
      <c r="L332" s="1491"/>
      <c r="M332" s="1491"/>
      <c r="N332" s="4"/>
      <c r="O332" s="4"/>
      <c r="P332" s="35"/>
      <c r="Q332" s="35"/>
      <c r="R332" s="35"/>
      <c r="S332" s="3"/>
      <c r="T332" s="3" t="s">
        <v>89</v>
      </c>
      <c r="V332" s="3"/>
      <c r="W332" s="3"/>
      <c r="X332" s="3"/>
      <c r="Y332" s="3"/>
      <c r="AA332" s="1491"/>
      <c r="AB332" s="1491"/>
      <c r="AC332" s="1491"/>
      <c r="AD332" s="1491"/>
      <c r="AE332" s="1491"/>
      <c r="AF332" s="1491"/>
      <c r="AG332" s="4"/>
      <c r="AH332" s="4"/>
      <c r="AI332" s="35"/>
      <c r="AJ332" s="35"/>
      <c r="AK332" s="35"/>
    </row>
    <row r="333" spans="2:66" ht="12.95" customHeight="1">
      <c r="B333" s="3" t="s">
        <v>76</v>
      </c>
      <c r="C333" s="3"/>
      <c r="D333" s="3"/>
      <c r="E333" s="3"/>
      <c r="F333" s="3"/>
      <c r="G333" s="3"/>
      <c r="H333" s="1404" t="s">
        <v>2716</v>
      </c>
      <c r="I333" s="1404"/>
      <c r="J333" s="1404"/>
      <c r="K333" s="1404"/>
      <c r="L333" s="1404"/>
      <c r="M333" s="1404"/>
      <c r="N333" s="1398"/>
      <c r="O333" s="1398"/>
      <c r="P333" s="1398"/>
      <c r="Q333" s="1398"/>
      <c r="R333" s="1398"/>
      <c r="S333" s="3"/>
      <c r="T333" s="3" t="s">
        <v>76</v>
      </c>
      <c r="V333" s="3"/>
      <c r="W333" s="3"/>
      <c r="X333" s="3"/>
      <c r="Y333" s="3"/>
      <c r="AA333" s="1404"/>
      <c r="AB333" s="1404"/>
      <c r="AC333" s="1404"/>
      <c r="AD333" s="1404"/>
      <c r="AE333" s="1404"/>
      <c r="AF333" s="1404"/>
      <c r="AG333" s="1398"/>
      <c r="AH333" s="1398"/>
      <c r="AI333" s="1398"/>
      <c r="AJ333" s="1398"/>
      <c r="AK333" s="1398"/>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398" t="s">
        <v>2717</v>
      </c>
      <c r="I335" s="1398"/>
      <c r="J335" s="1398"/>
      <c r="K335" s="1398"/>
      <c r="L335" s="1398"/>
      <c r="M335" s="1398"/>
      <c r="N335" s="1398"/>
      <c r="O335" s="1398"/>
      <c r="P335" s="1398"/>
      <c r="Q335" s="1398"/>
      <c r="R335" s="1398"/>
      <c r="T335" s="218" t="s">
        <v>900</v>
      </c>
      <c r="V335" s="3"/>
      <c r="W335" s="3"/>
      <c r="X335" s="3"/>
      <c r="Y335" s="3"/>
      <c r="AA335" s="1398" t="s">
        <v>2724</v>
      </c>
      <c r="AB335" s="1398"/>
      <c r="AC335" s="1398"/>
      <c r="AD335" s="1398"/>
      <c r="AE335" s="1398"/>
      <c r="AF335" s="1398"/>
      <c r="AG335" s="1398"/>
      <c r="AH335" s="1398"/>
      <c r="AI335" s="1398"/>
      <c r="AJ335" s="1398"/>
      <c r="AK335" s="1398"/>
    </row>
    <row r="336" spans="2:66" ht="12.95" customHeight="1">
      <c r="B336" s="3" t="s">
        <v>480</v>
      </c>
      <c r="C336" s="3"/>
      <c r="D336" s="3"/>
      <c r="E336" s="3"/>
      <c r="F336" s="3"/>
      <c r="H336" s="1404" t="s">
        <v>2718</v>
      </c>
      <c r="I336" s="1404"/>
      <c r="J336" s="1404"/>
      <c r="K336" s="1404"/>
      <c r="L336" s="1404"/>
      <c r="M336" s="1404"/>
      <c r="N336" s="1404"/>
      <c r="O336" s="1404"/>
      <c r="P336" s="1404"/>
      <c r="Q336" s="1404"/>
      <c r="R336" s="1404"/>
      <c r="T336" s="3" t="s">
        <v>480</v>
      </c>
      <c r="V336" s="3"/>
      <c r="W336" s="3"/>
      <c r="X336" s="3"/>
      <c r="Y336" s="3"/>
      <c r="AA336" s="1404" t="s">
        <v>2725</v>
      </c>
      <c r="AB336" s="1404"/>
      <c r="AC336" s="1404"/>
      <c r="AD336" s="1404"/>
      <c r="AE336" s="1404"/>
      <c r="AF336" s="1404"/>
      <c r="AG336" s="1404"/>
      <c r="AH336" s="1404"/>
      <c r="AI336" s="1404"/>
      <c r="AJ336" s="1404"/>
      <c r="AK336" s="1404"/>
    </row>
    <row r="337" spans="1:66" ht="12.95" customHeight="1">
      <c r="B337" s="3" t="s">
        <v>75</v>
      </c>
      <c r="C337" s="3"/>
      <c r="D337" s="3"/>
      <c r="E337" s="3"/>
      <c r="F337" s="3"/>
      <c r="H337" s="1404" t="s">
        <v>2719</v>
      </c>
      <c r="I337" s="1404"/>
      <c r="J337" s="1404"/>
      <c r="K337" s="1404"/>
      <c r="L337" s="1404"/>
      <c r="M337" s="1404"/>
      <c r="N337" s="1404"/>
      <c r="O337" s="1404"/>
      <c r="P337" s="1404"/>
      <c r="Q337" s="1404"/>
      <c r="R337" s="1404"/>
      <c r="T337" s="3" t="s">
        <v>75</v>
      </c>
      <c r="V337" s="3"/>
      <c r="W337" s="3"/>
      <c r="X337" s="3"/>
      <c r="Y337" s="3"/>
      <c r="AA337" s="1404" t="s">
        <v>2726</v>
      </c>
      <c r="AB337" s="1404"/>
      <c r="AC337" s="1404"/>
      <c r="AD337" s="1404"/>
      <c r="AE337" s="1404"/>
      <c r="AF337" s="1404"/>
      <c r="AG337" s="1404"/>
      <c r="AH337" s="1404"/>
      <c r="AI337" s="1404"/>
      <c r="AJ337" s="1404"/>
      <c r="AK337" s="1404"/>
    </row>
    <row r="338" spans="1:66" ht="12.95" customHeight="1">
      <c r="B338" s="3" t="s">
        <v>87</v>
      </c>
      <c r="C338" s="3"/>
      <c r="D338" s="3"/>
      <c r="E338" s="3"/>
      <c r="F338" s="3"/>
      <c r="G338" s="3"/>
      <c r="H338" s="1404" t="s">
        <v>2720</v>
      </c>
      <c r="I338" s="1404"/>
      <c r="J338" s="1404"/>
      <c r="K338" s="1404"/>
      <c r="L338" s="1404"/>
      <c r="M338" s="1404"/>
      <c r="N338" s="1404"/>
      <c r="O338" s="1404"/>
      <c r="P338" s="1404"/>
      <c r="Q338" s="1404"/>
      <c r="R338" s="1404"/>
      <c r="T338" s="3" t="s">
        <v>87</v>
      </c>
      <c r="V338" s="3"/>
      <c r="W338" s="3"/>
      <c r="X338" s="3"/>
      <c r="Y338" s="3"/>
      <c r="AA338" s="1404" t="s">
        <v>2727</v>
      </c>
      <c r="AB338" s="1404"/>
      <c r="AC338" s="1404"/>
      <c r="AD338" s="1404"/>
      <c r="AE338" s="1404"/>
      <c r="AF338" s="1404"/>
      <c r="AG338" s="1404"/>
      <c r="AH338" s="1404"/>
      <c r="AI338" s="1404"/>
      <c r="AJ338" s="1404"/>
      <c r="AK338" s="1404"/>
    </row>
    <row r="339" spans="1:66" ht="12.95" customHeight="1">
      <c r="B339" s="3" t="s">
        <v>88</v>
      </c>
      <c r="C339" s="3"/>
      <c r="D339" s="3"/>
      <c r="E339" s="3"/>
      <c r="F339" s="3"/>
      <c r="G339" s="3"/>
      <c r="H339" s="1549" t="s">
        <v>2721</v>
      </c>
      <c r="I339" s="1548"/>
      <c r="J339" s="1548"/>
      <c r="K339" s="1548"/>
      <c r="L339" s="1548"/>
      <c r="M339" s="1548"/>
      <c r="N339" s="4" t="s">
        <v>207</v>
      </c>
      <c r="O339" s="4"/>
      <c r="P339" s="1509"/>
      <c r="Q339" s="1509"/>
      <c r="R339" s="1509"/>
      <c r="S339" s="3"/>
      <c r="T339" s="3" t="s">
        <v>88</v>
      </c>
      <c r="V339" s="3"/>
      <c r="W339" s="3"/>
      <c r="X339" s="3"/>
      <c r="Y339" s="3"/>
      <c r="AA339" s="1549" t="s">
        <v>2728</v>
      </c>
      <c r="AB339" s="1548"/>
      <c r="AC339" s="1548"/>
      <c r="AD339" s="1548"/>
      <c r="AE339" s="1548"/>
      <c r="AF339" s="1548"/>
      <c r="AG339" s="4" t="s">
        <v>207</v>
      </c>
      <c r="AH339" s="4"/>
      <c r="AI339" s="1509"/>
      <c r="AJ339" s="1509"/>
      <c r="AK339" s="1509"/>
    </row>
    <row r="340" spans="1:66" ht="12.95" customHeight="1">
      <c r="B340" s="3" t="s">
        <v>89</v>
      </c>
      <c r="C340" s="3"/>
      <c r="D340" s="3"/>
      <c r="E340" s="3"/>
      <c r="F340" s="3"/>
      <c r="G340" s="3"/>
      <c r="H340" s="1510" t="s">
        <v>2722</v>
      </c>
      <c r="I340" s="1491"/>
      <c r="J340" s="1491"/>
      <c r="K340" s="1491"/>
      <c r="L340" s="1491"/>
      <c r="M340" s="1491"/>
      <c r="N340" s="4"/>
      <c r="O340" s="4"/>
      <c r="P340" s="35"/>
      <c r="Q340" s="35"/>
      <c r="R340" s="35"/>
      <c r="S340" s="3"/>
      <c r="T340" s="3" t="s">
        <v>89</v>
      </c>
      <c r="V340" s="3"/>
      <c r="W340" s="3"/>
      <c r="X340" s="3"/>
      <c r="Y340" s="3"/>
      <c r="AA340" s="1510" t="s">
        <v>2729</v>
      </c>
      <c r="AB340" s="1491"/>
      <c r="AC340" s="1491"/>
      <c r="AD340" s="1491"/>
      <c r="AE340" s="1491"/>
      <c r="AF340" s="1491"/>
      <c r="AG340" s="4"/>
      <c r="AH340" s="4"/>
      <c r="AI340" s="35"/>
      <c r="AJ340" s="35"/>
      <c r="AK340" s="35"/>
    </row>
    <row r="341" spans="1:66" ht="12.95" customHeight="1">
      <c r="B341" s="3" t="s">
        <v>76</v>
      </c>
      <c r="C341" s="3"/>
      <c r="D341" s="3"/>
      <c r="E341" s="3"/>
      <c r="F341" s="3"/>
      <c r="G341" s="3"/>
      <c r="H341" s="1404" t="s">
        <v>2723</v>
      </c>
      <c r="I341" s="1404"/>
      <c r="J341" s="1404"/>
      <c r="K341" s="1404"/>
      <c r="L341" s="1404"/>
      <c r="M341" s="1404"/>
      <c r="N341" s="1398"/>
      <c r="O341" s="1398"/>
      <c r="P341" s="1398"/>
      <c r="Q341" s="1398"/>
      <c r="R341" s="1398"/>
      <c r="S341" s="3"/>
      <c r="T341" s="3" t="s">
        <v>76</v>
      </c>
      <c r="V341" s="3"/>
      <c r="W341" s="3"/>
      <c r="X341" s="3"/>
      <c r="Y341" s="3"/>
      <c r="AA341" s="1404" t="s">
        <v>2730</v>
      </c>
      <c r="AB341" s="1404"/>
      <c r="AC341" s="1404"/>
      <c r="AD341" s="1404"/>
      <c r="AE341" s="1404"/>
      <c r="AF341" s="1404"/>
      <c r="AG341" s="1398"/>
      <c r="AH341" s="1398"/>
      <c r="AI341" s="1398"/>
      <c r="AJ341" s="1398"/>
      <c r="AK341" s="1398"/>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2.95" customHeight="1">
      <c r="B343" s="3"/>
      <c r="C343" s="4"/>
      <c r="D343" s="4"/>
      <c r="E343" s="4"/>
      <c r="F343" s="4"/>
      <c r="I343" s="218" t="s">
        <v>901</v>
      </c>
      <c r="P343" s="1398" t="s">
        <v>600</v>
      </c>
      <c r="Q343" s="1398"/>
      <c r="R343" s="1398"/>
      <c r="S343" s="1398"/>
      <c r="T343" s="1398"/>
      <c r="U343" s="1398"/>
      <c r="V343" s="1398"/>
      <c r="W343" s="1398"/>
      <c r="X343" s="1398"/>
      <c r="Y343" s="1398"/>
      <c r="Z343" s="1398"/>
      <c r="AA343" s="1398"/>
      <c r="AB343" s="1398"/>
      <c r="AC343" s="1398"/>
      <c r="AD343" s="1398"/>
      <c r="AE343" s="1398"/>
      <c r="BN343" t="s">
        <v>678</v>
      </c>
    </row>
    <row r="344" spans="1:66" ht="12.95" customHeight="1">
      <c r="B344" s="4"/>
      <c r="C344" s="4"/>
      <c r="D344" s="4"/>
      <c r="E344" s="4"/>
      <c r="F344" s="4"/>
      <c r="I344" s="4" t="s">
        <v>480</v>
      </c>
      <c r="P344" s="1404"/>
      <c r="Q344" s="1404"/>
      <c r="R344" s="1404"/>
      <c r="S344" s="1404"/>
      <c r="T344" s="1404"/>
      <c r="U344" s="1404"/>
      <c r="V344" s="1404"/>
      <c r="W344" s="1404"/>
      <c r="X344" s="1404"/>
      <c r="Y344" s="1404"/>
      <c r="Z344" s="1404"/>
      <c r="AA344" s="1404"/>
      <c r="AB344" s="1404"/>
      <c r="AC344" s="1404"/>
      <c r="AD344" s="1404"/>
      <c r="AE344" s="1404"/>
      <c r="BN344" t="s">
        <v>554</v>
      </c>
    </row>
    <row r="345" spans="1:66" ht="12.95" customHeight="1">
      <c r="B345" s="4"/>
      <c r="C345" s="4"/>
      <c r="D345" s="4"/>
      <c r="E345" s="4"/>
      <c r="F345" s="4"/>
      <c r="I345" s="4" t="s">
        <v>75</v>
      </c>
      <c r="P345" s="1404"/>
      <c r="Q345" s="1404"/>
      <c r="R345" s="1404"/>
      <c r="S345" s="1404"/>
      <c r="T345" s="1404"/>
      <c r="U345" s="1404"/>
      <c r="V345" s="1404"/>
      <c r="W345" s="1404"/>
      <c r="X345" s="1404"/>
      <c r="Y345" s="1404"/>
      <c r="Z345" s="1404"/>
      <c r="AA345" s="1404"/>
      <c r="AB345" s="1404"/>
      <c r="AC345" s="1404"/>
      <c r="AD345" s="1404"/>
      <c r="AE345" s="1404"/>
    </row>
    <row r="346" spans="1:66" ht="12.95" customHeight="1">
      <c r="B346" s="4"/>
      <c r="C346" s="4"/>
      <c r="D346" s="4"/>
      <c r="E346" s="4"/>
      <c r="F346" s="4"/>
      <c r="G346" s="4"/>
      <c r="I346" s="4" t="s">
        <v>87</v>
      </c>
      <c r="P346" s="1404"/>
      <c r="Q346" s="1404"/>
      <c r="R346" s="1404"/>
      <c r="S346" s="1404"/>
      <c r="T346" s="1404"/>
      <c r="U346" s="1404"/>
      <c r="V346" s="1404"/>
      <c r="W346" s="1404"/>
      <c r="X346" s="1404"/>
      <c r="Y346" s="1404"/>
      <c r="Z346" s="1404"/>
      <c r="AA346" s="1404"/>
      <c r="AB346" s="1404"/>
      <c r="AC346" s="1404"/>
      <c r="AD346" s="1404"/>
      <c r="AE346" s="1404"/>
    </row>
    <row r="347" spans="1:66" ht="12.95" customHeight="1">
      <c r="B347" s="4"/>
      <c r="C347" s="4"/>
      <c r="D347" s="4"/>
      <c r="E347" s="4"/>
      <c r="F347" s="4"/>
      <c r="G347" s="4"/>
      <c r="H347" s="324"/>
      <c r="I347" s="4" t="s">
        <v>88</v>
      </c>
      <c r="P347" s="1491"/>
      <c r="Q347" s="1491"/>
      <c r="R347" s="1491"/>
      <c r="S347" s="1491"/>
      <c r="T347" s="1491"/>
      <c r="U347" s="1491"/>
      <c r="V347" s="1491"/>
      <c r="W347" s="1491"/>
      <c r="X347" s="1491"/>
      <c r="Y347" s="1491"/>
      <c r="Z347" s="1491"/>
      <c r="AA347" s="4" t="s">
        <v>207</v>
      </c>
      <c r="AB347" s="4"/>
      <c r="AC347" s="1402"/>
      <c r="AD347" s="1402"/>
      <c r="AE347" s="1402"/>
      <c r="AF347" s="324"/>
      <c r="AG347" s="4"/>
      <c r="AH347" s="4"/>
      <c r="AI347" s="4"/>
      <c r="AJ347" s="4"/>
      <c r="AK347" s="4"/>
    </row>
    <row r="348" spans="1:66" ht="12.95" customHeight="1">
      <c r="B348" s="4"/>
      <c r="C348" s="4"/>
      <c r="D348" s="4"/>
      <c r="E348" s="4"/>
      <c r="F348" s="4"/>
      <c r="G348" s="4"/>
      <c r="H348" s="324"/>
      <c r="I348" s="4" t="s">
        <v>89</v>
      </c>
      <c r="P348" s="1491"/>
      <c r="Q348" s="1491"/>
      <c r="R348" s="1491"/>
      <c r="S348" s="1491"/>
      <c r="T348" s="1491"/>
      <c r="U348" s="1491"/>
      <c r="V348" s="1491"/>
      <c r="W348" s="1491"/>
      <c r="X348" s="1491"/>
      <c r="Y348" s="1491"/>
      <c r="Z348" s="1491"/>
      <c r="AF348" s="324"/>
      <c r="AG348" s="4"/>
      <c r="AH348" s="4"/>
      <c r="AI348" s="35"/>
      <c r="AJ348" s="35"/>
      <c r="AK348" s="35"/>
    </row>
    <row r="349" spans="1:66" ht="12.95" customHeight="1">
      <c r="B349" s="4"/>
      <c r="C349" s="4"/>
      <c r="D349" s="4"/>
      <c r="E349" s="4"/>
      <c r="F349" s="4"/>
      <c r="G349" s="4"/>
      <c r="I349" s="4" t="s">
        <v>76</v>
      </c>
      <c r="P349" s="1398"/>
      <c r="Q349" s="1398"/>
      <c r="R349" s="1398"/>
      <c r="S349" s="1398"/>
      <c r="T349" s="1398"/>
      <c r="U349" s="1398"/>
      <c r="V349" s="1398"/>
      <c r="W349" s="1398"/>
      <c r="X349" s="1398"/>
      <c r="Y349" s="1398"/>
      <c r="Z349" s="1398"/>
      <c r="AA349" s="1398"/>
      <c r="AB349" s="1398"/>
      <c r="AC349" s="1398"/>
      <c r="AD349" s="1398"/>
      <c r="AE349" s="1398"/>
    </row>
    <row r="350" spans="1:66" ht="12.95" customHeight="1">
      <c r="T350" s="8"/>
      <c r="U350" s="8"/>
      <c r="V350" s="8"/>
      <c r="W350" s="8"/>
      <c r="X350" s="8"/>
      <c r="Y350" s="8"/>
      <c r="Z350" s="8"/>
      <c r="AU350" s="95"/>
      <c r="AV350" s="95"/>
      <c r="AW350" s="95"/>
      <c r="AX350" s="95"/>
      <c r="AY350" s="95"/>
    </row>
    <row r="351" spans="1:66" ht="12.95" customHeight="1">
      <c r="A351" s="1573" t="s">
        <v>551</v>
      </c>
      <c r="B351" s="1573"/>
      <c r="C351" s="1573"/>
      <c r="D351" s="1573"/>
      <c r="E351" s="1573"/>
      <c r="F351" s="1573"/>
      <c r="G351" s="1573"/>
      <c r="H351" s="1573"/>
      <c r="I351" s="1573"/>
      <c r="J351" s="1573"/>
      <c r="K351" s="1573"/>
      <c r="L351" s="1573"/>
      <c r="M351" s="1573"/>
      <c r="N351" s="1573"/>
      <c r="O351" s="1573"/>
      <c r="P351" s="1573"/>
      <c r="Q351" s="1573"/>
      <c r="R351" s="1573"/>
      <c r="S351" s="1573"/>
      <c r="T351" s="1573"/>
      <c r="U351" s="1573"/>
      <c r="V351" s="1573"/>
      <c r="W351" s="1573"/>
      <c r="X351" s="1573"/>
      <c r="Y351" s="1573"/>
      <c r="Z351" s="1573"/>
      <c r="AA351" s="1573"/>
      <c r="AB351" s="1573"/>
      <c r="AC351" s="1573"/>
      <c r="AD351" s="1573"/>
      <c r="AE351" s="1573"/>
      <c r="AF351" s="1573"/>
      <c r="AG351" s="1573"/>
      <c r="AH351" s="1573"/>
      <c r="AI351" s="1573"/>
      <c r="AJ351" s="1573"/>
      <c r="AK351" s="1573"/>
      <c r="AL351" s="1573"/>
      <c r="AM351" s="1573"/>
      <c r="AN351" s="1573"/>
      <c r="AO351" s="1573"/>
      <c r="AP351" s="1573"/>
      <c r="AQ351" s="1573"/>
      <c r="AR351" s="1573"/>
      <c r="AS351" s="1573"/>
      <c r="AT351" s="1573"/>
      <c r="AU351" s="95"/>
      <c r="AV351" s="95"/>
      <c r="AW351" s="95"/>
      <c r="AX351" s="95"/>
      <c r="AY351" s="95"/>
    </row>
    <row r="352" spans="1:66" ht="12.95" customHeight="1">
      <c r="A352" s="1573"/>
      <c r="B352" s="1573"/>
      <c r="C352" s="1573"/>
      <c r="D352" s="1573"/>
      <c r="E352" s="1573"/>
      <c r="F352" s="1573"/>
      <c r="G352" s="1573"/>
      <c r="H352" s="1573"/>
      <c r="I352" s="1573"/>
      <c r="J352" s="1573"/>
      <c r="K352" s="1573"/>
      <c r="L352" s="1573"/>
      <c r="M352" s="1573"/>
      <c r="N352" s="1573"/>
      <c r="O352" s="1573"/>
      <c r="P352" s="1573"/>
      <c r="Q352" s="1573"/>
      <c r="R352" s="1573"/>
      <c r="S352" s="1573"/>
      <c r="T352" s="1573"/>
      <c r="U352" s="1573"/>
      <c r="V352" s="1573"/>
      <c r="W352" s="1573"/>
      <c r="X352" s="1573"/>
      <c r="Y352" s="1573"/>
      <c r="Z352" s="1573"/>
      <c r="AA352" s="1573"/>
      <c r="AB352" s="1573"/>
      <c r="AC352" s="1573"/>
      <c r="AD352" s="1573"/>
      <c r="AE352" s="1573"/>
      <c r="AF352" s="1573"/>
      <c r="AG352" s="1573"/>
      <c r="AH352" s="1573"/>
      <c r="AI352" s="1573"/>
      <c r="AJ352" s="1573"/>
      <c r="AK352" s="1573"/>
      <c r="AL352" s="1573"/>
      <c r="AM352" s="1573"/>
      <c r="AN352" s="1573"/>
      <c r="AO352" s="1573"/>
      <c r="AP352" s="1573"/>
      <c r="AQ352" s="1573"/>
      <c r="AR352" s="1573"/>
      <c r="AS352" s="1573"/>
      <c r="AT352" s="1573"/>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792</v>
      </c>
    </row>
    <row r="355" spans="1:46" ht="12.95" customHeight="1">
      <c r="D355" s="3" t="s">
        <v>2417</v>
      </c>
      <c r="M355" s="1494" t="s">
        <v>554</v>
      </c>
      <c r="N355" s="1494"/>
      <c r="P355" t="s">
        <v>1763</v>
      </c>
      <c r="AJ355" s="1494" t="s">
        <v>678</v>
      </c>
      <c r="AK355" s="1494"/>
    </row>
    <row r="356" spans="1:46" ht="12.95" customHeight="1">
      <c r="D356" s="3" t="s">
        <v>1752</v>
      </c>
      <c r="M356" s="1494" t="s">
        <v>600</v>
      </c>
      <c r="N356" s="1494"/>
      <c r="P356" s="3" t="s">
        <v>1909</v>
      </c>
      <c r="AJ356" s="1485"/>
      <c r="AK356" s="1485"/>
    </row>
    <row r="357" spans="1:46" ht="12.95" customHeight="1">
      <c r="D357" s="3" t="s">
        <v>714</v>
      </c>
      <c r="M357" s="1494" t="s">
        <v>600</v>
      </c>
      <c r="N357" s="1494"/>
      <c r="P357" t="s">
        <v>1762</v>
      </c>
      <c r="AJ357" s="1494" t="s">
        <v>678</v>
      </c>
      <c r="AK357" s="1494"/>
    </row>
    <row r="358" spans="1:46" ht="12.95" customHeight="1">
      <c r="D358" s="3" t="s">
        <v>715</v>
      </c>
      <c r="M358" s="1494" t="s">
        <v>600</v>
      </c>
      <c r="N358" s="1494"/>
      <c r="Q358" s="4"/>
    </row>
    <row r="359" spans="1:46" ht="12.95" customHeight="1">
      <c r="Q359" s="4"/>
    </row>
    <row r="360" spans="1:46" ht="12.95" customHeight="1">
      <c r="Q360" s="4"/>
    </row>
    <row r="361" spans="1:46" ht="12.95" customHeight="1">
      <c r="A361" s="2" t="s">
        <v>585</v>
      </c>
      <c r="B361" s="2"/>
      <c r="C361" s="2" t="s">
        <v>561</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494" t="s">
        <v>600</v>
      </c>
      <c r="O363" s="1494"/>
      <c r="P363" s="40"/>
      <c r="Q363" s="40"/>
      <c r="R363" s="40"/>
      <c r="S363" s="40"/>
      <c r="T363" s="40"/>
      <c r="U363" s="40"/>
      <c r="V363" s="40"/>
      <c r="W363" s="40"/>
      <c r="X363" s="40"/>
      <c r="Y363" s="40"/>
      <c r="Z363" s="40"/>
      <c r="AC363" s="40"/>
      <c r="AD363" s="40"/>
      <c r="AE363" s="40"/>
    </row>
    <row r="364" spans="1:46" ht="12.95" customHeight="1">
      <c r="E364" t="s">
        <v>371</v>
      </c>
      <c r="Y364" s="1494" t="s">
        <v>600</v>
      </c>
      <c r="Z364" s="1494"/>
    </row>
    <row r="365" spans="1:46" ht="12.95" customHeight="1">
      <c r="D365" s="4" t="s">
        <v>998</v>
      </c>
      <c r="Q365" s="1398"/>
      <c r="R365" s="1398"/>
      <c r="S365" s="1398"/>
      <c r="T365" s="1398"/>
      <c r="U365" s="1398"/>
      <c r="V365" s="1398"/>
      <c r="W365" s="1398"/>
      <c r="X365" s="1398"/>
      <c r="Y365" s="1398"/>
      <c r="Z365" s="1398"/>
      <c r="AA365" s="1398"/>
      <c r="AB365" s="1398"/>
      <c r="AC365" s="1398"/>
      <c r="AD365" s="1398"/>
      <c r="AE365" s="1398"/>
      <c r="AF365" s="1398"/>
      <c r="AG365" s="1398"/>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494" t="s">
        <v>600</v>
      </c>
      <c r="K367" s="1494"/>
      <c r="L367" s="40"/>
      <c r="M367" s="40"/>
      <c r="N367" s="40"/>
      <c r="O367" s="40"/>
      <c r="P367" s="40"/>
      <c r="Q367" s="40"/>
      <c r="R367" s="40"/>
      <c r="S367" s="40"/>
      <c r="T367" s="40"/>
      <c r="U367" s="40"/>
      <c r="V367" s="40"/>
      <c r="W367" s="40"/>
      <c r="X367" s="40"/>
      <c r="Y367" s="40"/>
      <c r="Z367" s="40"/>
      <c r="AC367" s="40"/>
      <c r="AD367" s="40"/>
      <c r="AE367" s="40"/>
    </row>
    <row r="368" spans="1:46" ht="12.95" customHeight="1">
      <c r="E368" s="1557" t="s">
        <v>716</v>
      </c>
      <c r="F368" s="1557"/>
      <c r="G368" s="1557"/>
      <c r="H368" s="1557"/>
      <c r="I368" s="1557"/>
      <c r="J368" s="1557"/>
      <c r="K368" s="1557"/>
      <c r="L368" s="1557"/>
      <c r="M368" s="1557"/>
      <c r="N368" s="1557"/>
      <c r="O368" s="1557"/>
      <c r="P368" s="1557"/>
      <c r="Q368" s="1557"/>
      <c r="R368" s="1557"/>
      <c r="S368" s="1557"/>
      <c r="T368" s="1557"/>
      <c r="U368" s="1557"/>
      <c r="V368" s="1557"/>
      <c r="W368" s="1557"/>
      <c r="X368" s="1557"/>
      <c r="Y368" s="1557"/>
      <c r="Z368" s="1557"/>
      <c r="AA368" s="1557"/>
      <c r="AB368" s="1557"/>
      <c r="AC368" s="1557"/>
      <c r="AD368" s="1557"/>
      <c r="AE368" s="1557"/>
      <c r="AF368" s="1557"/>
      <c r="AG368" s="1557"/>
      <c r="AH368" s="1557"/>
    </row>
    <row r="369" spans="1:34" ht="12.95" customHeight="1">
      <c r="E369" s="1557"/>
      <c r="F369" s="1557"/>
      <c r="G369" s="1557"/>
      <c r="H369" s="1557"/>
      <c r="I369" s="1557"/>
      <c r="J369" s="1557"/>
      <c r="K369" s="1557"/>
      <c r="L369" s="1557"/>
      <c r="M369" s="1557"/>
      <c r="N369" s="1557"/>
      <c r="O369" s="1557"/>
      <c r="P369" s="1557"/>
      <c r="Q369" s="1557"/>
      <c r="R369" s="1557"/>
      <c r="S369" s="1557"/>
      <c r="T369" s="1557"/>
      <c r="U369" s="1557"/>
      <c r="V369" s="1557"/>
      <c r="W369" s="1557"/>
      <c r="X369" s="1557"/>
      <c r="Y369" s="1557"/>
      <c r="Z369" s="1557"/>
      <c r="AA369" s="1557"/>
      <c r="AB369" s="1557"/>
      <c r="AC369" s="1557"/>
      <c r="AD369" s="1557"/>
      <c r="AE369" s="1557"/>
      <c r="AF369" s="1557"/>
      <c r="AG369" s="1557"/>
      <c r="AH369" s="1557"/>
    </row>
    <row r="370" spans="1:34" ht="12.95" customHeight="1">
      <c r="E370" s="4" t="s">
        <v>457</v>
      </c>
      <c r="F370" s="4"/>
      <c r="G370" s="4"/>
      <c r="H370" s="4"/>
      <c r="I370" s="4"/>
      <c r="J370" s="4"/>
      <c r="K370" s="4"/>
      <c r="L370" s="4"/>
      <c r="N370" s="1443" t="s">
        <v>600</v>
      </c>
      <c r="O370" s="1443"/>
      <c r="P370" s="1443" t="s">
        <v>600</v>
      </c>
      <c r="Q370" s="1443"/>
      <c r="R370" s="4"/>
      <c r="U370" s="4" t="s">
        <v>458</v>
      </c>
      <c r="V370" s="4"/>
      <c r="W370" s="4"/>
      <c r="X370" s="4"/>
      <c r="Y370" s="4"/>
      <c r="Z370" s="4"/>
      <c r="AA370" s="4"/>
      <c r="AB370" s="4"/>
      <c r="AC370" s="1443" t="s">
        <v>600</v>
      </c>
      <c r="AD370" s="1443"/>
      <c r="AE370" s="1443" t="s">
        <v>600</v>
      </c>
      <c r="AF370" s="1443"/>
    </row>
    <row r="371" spans="1:34" ht="12.95" customHeight="1">
      <c r="E371" s="4" t="s">
        <v>459</v>
      </c>
      <c r="F371" s="4"/>
      <c r="G371" s="4"/>
      <c r="H371" s="4"/>
      <c r="I371" s="4"/>
      <c r="J371" s="4"/>
      <c r="K371" s="4"/>
      <c r="L371" s="4"/>
      <c r="N371" s="1443" t="s">
        <v>600</v>
      </c>
      <c r="O371" s="1443"/>
      <c r="P371" s="1443" t="s">
        <v>600</v>
      </c>
      <c r="Q371" s="1443"/>
      <c r="R371" s="4"/>
      <c r="U371" s="4" t="s">
        <v>0</v>
      </c>
      <c r="V371" s="4"/>
      <c r="W371" s="4"/>
      <c r="X371" s="4"/>
      <c r="Y371" s="4"/>
      <c r="Z371" s="4"/>
      <c r="AA371" s="4"/>
      <c r="AB371" s="4"/>
      <c r="AC371" s="1443" t="s">
        <v>600</v>
      </c>
      <c r="AD371" s="1443"/>
      <c r="AE371" s="1443" t="s">
        <v>600</v>
      </c>
      <c r="AF371" s="1443"/>
    </row>
    <row r="372" spans="1:34" ht="12.95" customHeight="1">
      <c r="E372" s="4" t="s">
        <v>1</v>
      </c>
      <c r="F372" s="4"/>
      <c r="G372" s="4"/>
      <c r="H372" s="4"/>
      <c r="I372" s="4"/>
      <c r="J372" s="4"/>
      <c r="K372" s="4"/>
      <c r="L372" s="4"/>
      <c r="N372" s="1443" t="s">
        <v>600</v>
      </c>
      <c r="O372" s="1443"/>
      <c r="P372" s="1443" t="s">
        <v>600</v>
      </c>
      <c r="Q372" s="1443"/>
      <c r="R372" s="4"/>
      <c r="V372" s="4"/>
      <c r="W372" s="4"/>
      <c r="X372" s="4"/>
      <c r="Y372" s="4"/>
      <c r="Z372" s="4"/>
      <c r="AA372" s="4"/>
      <c r="AB372" s="4"/>
    </row>
    <row r="373" spans="1:34" ht="12.95" customHeight="1">
      <c r="E373" s="4" t="s">
        <v>2</v>
      </c>
      <c r="F373" s="4"/>
      <c r="G373" s="4"/>
      <c r="H373" s="4"/>
      <c r="I373" s="4"/>
      <c r="J373" s="4"/>
      <c r="K373" s="4"/>
      <c r="L373" s="4"/>
      <c r="N373" s="1492" t="s">
        <v>600</v>
      </c>
      <c r="O373" s="1492"/>
      <c r="P373" s="1492"/>
      <c r="Q373" s="1492"/>
      <c r="R373" s="1492"/>
      <c r="S373" s="1492"/>
      <c r="T373" s="1492"/>
      <c r="U373" s="1492"/>
      <c r="V373" s="1492"/>
      <c r="W373" s="1492"/>
      <c r="X373" s="1492"/>
      <c r="Y373" s="1492"/>
      <c r="Z373" s="1492"/>
      <c r="AA373" s="1492"/>
      <c r="AB373" s="1492"/>
      <c r="AC373" s="1492"/>
      <c r="AD373" s="1492"/>
      <c r="AE373" s="1492"/>
      <c r="AF373" s="1492"/>
    </row>
    <row r="374" spans="1:34" ht="12.95" customHeight="1">
      <c r="E374" s="4"/>
      <c r="F374" s="4"/>
      <c r="G374" s="4"/>
      <c r="H374" s="4"/>
      <c r="I374" s="4"/>
      <c r="J374" s="4"/>
      <c r="K374" s="4"/>
      <c r="L374" s="4"/>
      <c r="N374" s="1493"/>
      <c r="O374" s="1493"/>
      <c r="P374" s="1493"/>
      <c r="Q374" s="1493"/>
      <c r="R374" s="1493"/>
      <c r="S374" s="1493"/>
      <c r="T374" s="1493"/>
      <c r="U374" s="1493"/>
      <c r="V374" s="1493"/>
      <c r="W374" s="1493"/>
      <c r="X374" s="1493"/>
      <c r="Y374" s="1493"/>
      <c r="Z374" s="1493"/>
      <c r="AA374" s="1493"/>
      <c r="AB374" s="1493"/>
      <c r="AC374" s="1493"/>
      <c r="AD374" s="1493"/>
      <c r="AE374" s="1493"/>
      <c r="AF374" s="1493"/>
    </row>
    <row r="375" spans="1:34" ht="12.95" customHeight="1">
      <c r="C375" s="546"/>
      <c r="E375" s="4"/>
      <c r="F375" s="4"/>
      <c r="G375" s="4"/>
      <c r="H375" s="4"/>
      <c r="I375" s="4"/>
      <c r="J375" s="4"/>
      <c r="K375" s="4"/>
      <c r="L375" s="4"/>
    </row>
    <row r="376" spans="1:34" ht="12.95" customHeight="1">
      <c r="D376" s="2" t="s">
        <v>995</v>
      </c>
      <c r="E376" s="2"/>
      <c r="F376" s="4"/>
      <c r="G376" s="4"/>
      <c r="H376" s="4"/>
      <c r="I376" s="4"/>
      <c r="J376" s="4"/>
      <c r="K376" s="4"/>
      <c r="L376" s="4"/>
    </row>
    <row r="377" spans="1:34" ht="12.95" customHeight="1">
      <c r="E377" s="4" t="s">
        <v>2401</v>
      </c>
      <c r="F377" s="4"/>
      <c r="G377" s="4"/>
      <c r="H377" s="4"/>
      <c r="I377" s="4"/>
      <c r="J377" s="4"/>
      <c r="K377" s="4"/>
      <c r="L377" s="4"/>
      <c r="N377" t="s">
        <v>2396</v>
      </c>
      <c r="R377" s="27" t="s">
        <v>306</v>
      </c>
      <c r="S377" s="1495" t="s">
        <v>600</v>
      </c>
      <c r="T377" s="1495"/>
      <c r="U377" s="1" t="s">
        <v>307</v>
      </c>
      <c r="V377" s="1495" t="s">
        <v>600</v>
      </c>
      <c r="W377" s="1495"/>
      <c r="Y377" t="s">
        <v>2396</v>
      </c>
      <c r="AC377" s="27" t="s">
        <v>306</v>
      </c>
      <c r="AD377" s="1495" t="s">
        <v>600</v>
      </c>
      <c r="AE377" s="1495"/>
      <c r="AF377" s="1" t="s">
        <v>307</v>
      </c>
      <c r="AG377" s="1495" t="s">
        <v>600</v>
      </c>
      <c r="AH377" s="1495"/>
    </row>
    <row r="378" spans="1:34" ht="12.95" customHeight="1">
      <c r="E378" s="4" t="s">
        <v>1012</v>
      </c>
      <c r="F378" s="4"/>
      <c r="G378" s="4"/>
      <c r="H378" s="4"/>
      <c r="I378" s="4"/>
      <c r="J378" s="4"/>
      <c r="K378" s="4"/>
      <c r="L378" s="4"/>
      <c r="N378" s="1495" t="s">
        <v>600</v>
      </c>
      <c r="O378" s="1495"/>
      <c r="P378" s="1495"/>
    </row>
    <row r="379" spans="1:34" ht="12.95" customHeight="1">
      <c r="E379" s="218" t="s">
        <v>2402</v>
      </c>
      <c r="F379" s="4"/>
      <c r="G379" s="4"/>
      <c r="H379" s="4"/>
      <c r="I379" s="4"/>
      <c r="J379" s="4"/>
      <c r="K379" s="4"/>
      <c r="L379" s="4"/>
      <c r="AG379" s="1504" t="s">
        <v>600</v>
      </c>
      <c r="AH379" s="1504"/>
    </row>
    <row r="380" spans="1:34" ht="12.95" customHeight="1">
      <c r="E380" s="4"/>
      <c r="F380" s="4"/>
      <c r="G380" s="4" t="s">
        <v>2403</v>
      </c>
      <c r="H380" s="4"/>
      <c r="I380" s="4"/>
      <c r="J380" s="4"/>
      <c r="K380" s="4"/>
      <c r="L380" s="4"/>
      <c r="AG380" s="1504" t="s">
        <v>600</v>
      </c>
      <c r="AH380" s="1504"/>
    </row>
    <row r="381" spans="1:34" ht="12.95" customHeight="1">
      <c r="E381" s="4"/>
      <c r="F381" s="4"/>
      <c r="G381" s="348" t="s">
        <v>1013</v>
      </c>
      <c r="H381" s="4"/>
      <c r="I381" s="4"/>
      <c r="J381" s="4"/>
      <c r="K381" s="4"/>
      <c r="L381" s="4"/>
      <c r="V381" s="1494" t="s">
        <v>600</v>
      </c>
      <c r="W381" s="1494"/>
      <c r="Y381" s="22" t="s">
        <v>1000</v>
      </c>
    </row>
    <row r="382" spans="1:34" ht="12.95" customHeight="1">
      <c r="E382" s="4" t="s">
        <v>1001</v>
      </c>
      <c r="F382" s="4"/>
      <c r="G382" s="4"/>
      <c r="H382" s="4"/>
      <c r="I382" s="4"/>
      <c r="J382" s="4"/>
      <c r="K382" s="4"/>
      <c r="L382" s="4"/>
      <c r="V382" s="1494" t="s">
        <v>600</v>
      </c>
      <c r="W382" s="1494"/>
      <c r="Y382" s="4" t="s">
        <v>1002</v>
      </c>
    </row>
    <row r="383" spans="1:34" ht="12.95" customHeight="1"/>
    <row r="384" spans="1:34" ht="12.95" customHeight="1">
      <c r="A384" s="2" t="s">
        <v>78</v>
      </c>
      <c r="B384" s="2"/>
    </row>
    <row r="385" spans="4:36" ht="12.95" customHeight="1">
      <c r="D385" t="s">
        <v>429</v>
      </c>
      <c r="J385" s="1398" t="s">
        <v>600</v>
      </c>
      <c r="K385" s="1398"/>
      <c r="L385" s="1398" t="s">
        <v>600</v>
      </c>
      <c r="M385" s="1398"/>
      <c r="N385" s="1398" t="s">
        <v>600</v>
      </c>
      <c r="O385" s="1398"/>
      <c r="P385" s="1398" t="s">
        <v>600</v>
      </c>
      <c r="Q385" s="1398"/>
      <c r="R385" s="1398" t="s">
        <v>600</v>
      </c>
      <c r="S385" s="1398"/>
      <c r="T385" s="1398" t="s">
        <v>600</v>
      </c>
      <c r="U385" s="1398"/>
      <c r="V385" s="8" t="s">
        <v>83</v>
      </c>
      <c r="W385" s="8"/>
      <c r="X385" s="8"/>
      <c r="Y385" s="8"/>
      <c r="Z385" s="8"/>
      <c r="AA385" s="8"/>
      <c r="AB385" s="8"/>
      <c r="AC385" s="1398" t="s">
        <v>600</v>
      </c>
      <c r="AD385" s="1398"/>
      <c r="AE385" s="1398" t="s">
        <v>600</v>
      </c>
      <c r="AF385" s="1398"/>
      <c r="AG385" s="1398" t="s">
        <v>600</v>
      </c>
      <c r="AH385" s="1398"/>
      <c r="AI385" s="1398" t="s">
        <v>600</v>
      </c>
      <c r="AJ385" s="1398"/>
    </row>
    <row r="386" spans="4:36" ht="12.95" customHeight="1">
      <c r="D386" s="3" t="s">
        <v>1289</v>
      </c>
      <c r="J386" s="1404" t="s">
        <v>600</v>
      </c>
      <c r="K386" s="1404"/>
      <c r="L386" s="1404" t="s">
        <v>600</v>
      </c>
      <c r="M386" s="1404"/>
      <c r="N386" s="1404" t="s">
        <v>600</v>
      </c>
      <c r="O386" s="1404"/>
      <c r="P386" s="1404" t="s">
        <v>600</v>
      </c>
      <c r="Q386" s="1404"/>
      <c r="R386" s="1404" t="s">
        <v>600</v>
      </c>
      <c r="S386" s="1404"/>
      <c r="T386" s="1404" t="s">
        <v>600</v>
      </c>
      <c r="U386" s="1404"/>
      <c r="V386" s="3" t="s">
        <v>1289</v>
      </c>
      <c r="W386" s="8"/>
      <c r="X386" s="8"/>
      <c r="Y386" s="8"/>
      <c r="Z386" s="8"/>
      <c r="AA386" s="8"/>
      <c r="AB386" s="8"/>
      <c r="AC386" s="1398" t="s">
        <v>600</v>
      </c>
      <c r="AD386" s="1398"/>
      <c r="AE386" s="1398" t="s">
        <v>600</v>
      </c>
      <c r="AF386" s="1398"/>
      <c r="AG386" s="1398" t="s">
        <v>600</v>
      </c>
      <c r="AH386" s="1398"/>
      <c r="AI386" s="1398" t="s">
        <v>600</v>
      </c>
      <c r="AJ386" s="1398"/>
    </row>
    <row r="387" spans="4:36" ht="12.95" customHeight="1">
      <c r="D387" s="3" t="s">
        <v>444</v>
      </c>
      <c r="J387" s="1404" t="s">
        <v>600</v>
      </c>
      <c r="K387" s="1404"/>
      <c r="L387" s="1404" t="s">
        <v>600</v>
      </c>
      <c r="M387" s="1404"/>
      <c r="N387" s="1404" t="s">
        <v>600</v>
      </c>
      <c r="O387" s="1404"/>
      <c r="P387" s="1404" t="s">
        <v>600</v>
      </c>
      <c r="Q387" s="1404"/>
      <c r="R387" s="1404" t="s">
        <v>600</v>
      </c>
      <c r="S387" s="1404"/>
      <c r="T387" s="1404" t="s">
        <v>600</v>
      </c>
      <c r="U387" s="1404"/>
      <c r="V387" s="3" t="s">
        <v>444</v>
      </c>
      <c r="W387" s="8"/>
      <c r="X387" s="8"/>
      <c r="Y387" s="8"/>
      <c r="Z387" s="8"/>
      <c r="AA387" s="8"/>
      <c r="AB387" s="8"/>
      <c r="AC387" s="1398" t="s">
        <v>600</v>
      </c>
      <c r="AD387" s="1398"/>
      <c r="AE387" s="1398" t="s">
        <v>600</v>
      </c>
      <c r="AF387" s="1398"/>
      <c r="AG387" s="1398" t="s">
        <v>600</v>
      </c>
      <c r="AH387" s="1398"/>
      <c r="AI387" s="1398" t="s">
        <v>600</v>
      </c>
      <c r="AJ387" s="1398"/>
    </row>
    <row r="388" spans="4:36" ht="12.95" customHeight="1">
      <c r="D388" t="s">
        <v>1285</v>
      </c>
      <c r="J388" s="1434" t="s">
        <v>600</v>
      </c>
      <c r="K388" s="1434"/>
      <c r="L388" s="1434" t="s">
        <v>600</v>
      </c>
      <c r="M388" s="1434"/>
      <c r="N388" s="1434" t="s">
        <v>600</v>
      </c>
      <c r="O388" s="1434"/>
      <c r="P388" s="1434" t="s">
        <v>600</v>
      </c>
      <c r="Q388" s="1434"/>
      <c r="R388" s="1434" t="s">
        <v>600</v>
      </c>
      <c r="S388" s="1434"/>
      <c r="T388" s="1434" t="s">
        <v>600</v>
      </c>
      <c r="U388" s="1434"/>
      <c r="V388" s="1398"/>
      <c r="W388" s="1398"/>
      <c r="X388" s="1398"/>
      <c r="Y388" s="1398"/>
      <c r="Z388" s="1398"/>
      <c r="AA388" s="1398"/>
      <c r="AB388" s="1398"/>
      <c r="AC388" s="1398"/>
      <c r="AD388" s="1398"/>
      <c r="AE388" s="1398"/>
      <c r="AF388" s="1398"/>
      <c r="AG388" s="1398"/>
      <c r="AH388" s="1398"/>
      <c r="AI388" s="1398"/>
      <c r="AJ388" s="1398"/>
    </row>
    <row r="389" spans="4:36" ht="12.95" customHeight="1">
      <c r="D389" t="s">
        <v>4</v>
      </c>
      <c r="Q389" s="1508"/>
      <c r="R389" s="1508"/>
      <c r="S389" s="1508"/>
      <c r="T389" s="1508"/>
      <c r="U389" s="1508"/>
      <c r="V389" t="s">
        <v>310</v>
      </c>
      <c r="AI389" s="1494" t="s">
        <v>678</v>
      </c>
      <c r="AJ389" s="1494"/>
    </row>
    <row r="390" spans="4:36" ht="12.95" customHeight="1">
      <c r="D390" t="s">
        <v>5</v>
      </c>
      <c r="Q390" s="1675"/>
      <c r="R390" s="1703"/>
      <c r="S390" s="1703"/>
      <c r="T390" s="1703"/>
      <c r="U390" s="1703"/>
      <c r="W390" s="21" t="s">
        <v>74</v>
      </c>
      <c r="AG390" s="1512"/>
      <c r="AH390" s="1512"/>
      <c r="AI390" s="1512"/>
      <c r="AJ390" s="1512"/>
    </row>
    <row r="391" spans="4:36" ht="12.95" customHeight="1">
      <c r="D391" t="s">
        <v>428</v>
      </c>
      <c r="Q391" s="1702"/>
      <c r="R391" s="1702"/>
      <c r="S391" s="1702"/>
      <c r="T391" s="1702"/>
      <c r="U391" s="1702"/>
      <c r="V391" s="3" t="s">
        <v>1288</v>
      </c>
      <c r="AG391" s="1513"/>
      <c r="AH391" s="1513"/>
      <c r="AI391" s="1513"/>
      <c r="AJ391" s="1513"/>
    </row>
    <row r="392" spans="4:36" ht="12.95" customHeight="1">
      <c r="D392" t="s">
        <v>88</v>
      </c>
      <c r="I392" s="1548"/>
      <c r="J392" s="1548"/>
      <c r="K392" s="1548"/>
      <c r="L392" s="1548"/>
      <c r="M392" s="1548"/>
      <c r="N392" s="1548"/>
      <c r="Q392" s="4" t="s">
        <v>207</v>
      </c>
      <c r="S392" s="1507"/>
      <c r="T392" s="1507"/>
      <c r="U392" s="1507"/>
      <c r="V392" t="s">
        <v>73</v>
      </c>
      <c r="AI392" s="1494" t="s">
        <v>678</v>
      </c>
      <c r="AJ392" s="1494"/>
    </row>
    <row r="393" spans="4:36" ht="12.95" customHeight="1">
      <c r="D393" t="s">
        <v>311</v>
      </c>
      <c r="Q393" s="1514"/>
      <c r="R393" s="1514"/>
      <c r="S393" s="1514"/>
      <c r="T393" s="1514"/>
      <c r="U393" s="1514"/>
      <c r="V393" t="s">
        <v>312</v>
      </c>
      <c r="AG393" s="1512"/>
      <c r="AH393" s="1512"/>
      <c r="AI393" s="1512"/>
      <c r="AJ393" s="1512"/>
    </row>
    <row r="394" spans="4:36" ht="12.95" customHeight="1">
      <c r="D394" t="s">
        <v>313</v>
      </c>
      <c r="Q394" s="1524"/>
      <c r="R394" s="1524"/>
      <c r="S394" s="1524"/>
      <c r="T394" s="1524"/>
      <c r="U394" s="1524"/>
      <c r="V394" t="s">
        <v>1269</v>
      </c>
      <c r="AG394" s="1512"/>
      <c r="AH394" s="1512"/>
      <c r="AI394" s="1512"/>
      <c r="AJ394" s="1512"/>
    </row>
    <row r="395" spans="4:36" ht="12.95" customHeight="1">
      <c r="D395" t="s">
        <v>1268</v>
      </c>
      <c r="AG395" s="1512"/>
      <c r="AH395" s="1512"/>
      <c r="AI395" s="1512"/>
      <c r="AJ395" s="1512"/>
    </row>
    <row r="396" spans="4:36" ht="12.95" customHeight="1">
      <c r="AG396" s="490"/>
      <c r="AH396" s="490"/>
      <c r="AI396" s="490"/>
      <c r="AJ396" s="490"/>
    </row>
    <row r="397" spans="4:36" ht="12.95" customHeight="1">
      <c r="D397" s="3" t="s">
        <v>2502</v>
      </c>
      <c r="AG397" s="490"/>
      <c r="AH397" s="490"/>
      <c r="AI397" s="1494" t="s">
        <v>678</v>
      </c>
      <c r="AJ397" s="1494"/>
    </row>
    <row r="398" spans="4:36" ht="12.95" customHeight="1">
      <c r="D398" s="3" t="s">
        <v>1781</v>
      </c>
      <c r="T398" s="1433"/>
      <c r="U398" s="1433"/>
      <c r="V398" s="1433"/>
      <c r="W398" s="1433"/>
      <c r="X398" s="1433"/>
      <c r="Y398" s="1433"/>
      <c r="Z398" s="1433"/>
      <c r="AA398" s="1433"/>
      <c r="AB398" s="1433"/>
      <c r="AC398" s="1433"/>
      <c r="AD398" s="1433"/>
      <c r="AE398" s="1433"/>
      <c r="AF398" s="1433"/>
      <c r="AG398" s="1433"/>
      <c r="AH398" s="1433"/>
      <c r="AI398" s="1433"/>
      <c r="AJ398" s="1433"/>
    </row>
    <row r="399" spans="4:36" ht="12.95" customHeight="1">
      <c r="D399" s="3" t="s">
        <v>1780</v>
      </c>
      <c r="T399" s="1433"/>
      <c r="U399" s="1433"/>
      <c r="V399" s="1433"/>
      <c r="W399" s="1433"/>
      <c r="X399" s="1433"/>
      <c r="Y399" s="1433"/>
      <c r="Z399" s="1433"/>
      <c r="AA399" s="1433"/>
      <c r="AB399" s="1433"/>
      <c r="AC399" s="1433"/>
      <c r="AD399" s="1433"/>
      <c r="AE399" s="1433"/>
      <c r="AF399" s="1433"/>
      <c r="AG399" s="1433"/>
      <c r="AH399" s="1433"/>
      <c r="AI399" s="1433"/>
      <c r="AJ399" s="1433"/>
    </row>
    <row r="400" spans="4:36" ht="12.95" customHeight="1">
      <c r="AG400" s="490"/>
      <c r="AH400" s="490"/>
      <c r="AI400" s="490"/>
      <c r="AJ400" s="490"/>
    </row>
    <row r="401" spans="1:36" ht="12.95" customHeight="1">
      <c r="D401" s="3" t="s">
        <v>1774</v>
      </c>
      <c r="S401" s="1433" t="s">
        <v>554</v>
      </c>
      <c r="T401" s="1433"/>
      <c r="U401" s="1433"/>
      <c r="V401" t="s">
        <v>1775</v>
      </c>
      <c r="AG401" s="1516">
        <v>99</v>
      </c>
      <c r="AH401" s="1516"/>
      <c r="AI401" s="1516"/>
      <c r="AJ401" s="1516"/>
    </row>
    <row r="402" spans="1:36" ht="12.95" customHeight="1">
      <c r="D402" s="3" t="s">
        <v>1772</v>
      </c>
      <c r="S402" s="1433" t="s">
        <v>554</v>
      </c>
      <c r="T402" s="1433"/>
      <c r="U402" s="1433"/>
      <c r="V402" t="s">
        <v>1777</v>
      </c>
      <c r="AE402" s="1520" t="s">
        <v>2789</v>
      </c>
      <c r="AF402" s="1521"/>
      <c r="AG402" s="1521"/>
      <c r="AH402" s="1521"/>
      <c r="AI402" s="1521"/>
      <c r="AJ402" s="1521"/>
    </row>
    <row r="403" spans="1:36" ht="12.95" customHeight="1">
      <c r="D403" s="3" t="s">
        <v>1773</v>
      </c>
      <c r="K403" s="1511" t="s">
        <v>2790</v>
      </c>
      <c r="L403" s="1511"/>
      <c r="M403" s="1511"/>
      <c r="N403" s="1511"/>
      <c r="O403" s="1511"/>
      <c r="P403" s="1511"/>
      <c r="Q403" s="1511"/>
      <c r="R403" s="1511"/>
      <c r="S403" s="1511"/>
      <c r="T403" s="1511"/>
      <c r="U403" s="1511"/>
      <c r="V403" s="1511"/>
      <c r="W403" s="1511"/>
      <c r="X403" s="1511"/>
      <c r="Y403" s="1511"/>
      <c r="Z403" s="1511"/>
      <c r="AA403" s="1511"/>
      <c r="AB403" s="1511"/>
      <c r="AC403" s="1511"/>
      <c r="AD403" s="1511"/>
      <c r="AE403" s="1511"/>
      <c r="AF403" s="1511"/>
      <c r="AG403" s="1511"/>
      <c r="AH403" s="1511"/>
      <c r="AI403" s="1511"/>
      <c r="AJ403" s="1511"/>
    </row>
    <row r="404" spans="1:36" ht="12.95" customHeight="1">
      <c r="D404" s="3" t="s">
        <v>1776</v>
      </c>
      <c r="K404" s="1511" t="s">
        <v>2791</v>
      </c>
      <c r="L404" s="1511"/>
      <c r="M404" s="1511"/>
      <c r="N404" s="1511"/>
      <c r="O404" s="1511"/>
      <c r="P404" s="1511"/>
      <c r="Q404" s="1511"/>
      <c r="R404" s="1511"/>
      <c r="S404" s="1511"/>
      <c r="T404" s="1511"/>
      <c r="U404" s="1511"/>
      <c r="V404" s="1511"/>
      <c r="W404" s="1511"/>
      <c r="X404" s="1511"/>
      <c r="Y404" s="1511"/>
      <c r="Z404" s="1511"/>
      <c r="AA404" s="1511"/>
      <c r="AB404" s="1511"/>
      <c r="AC404" s="1511"/>
      <c r="AD404" s="1511"/>
      <c r="AE404" s="1511"/>
      <c r="AF404" s="1511"/>
      <c r="AG404" s="1511"/>
      <c r="AH404" s="1511"/>
      <c r="AI404" s="1511"/>
      <c r="AJ404" s="1511"/>
    </row>
    <row r="405" spans="1:36" ht="12.95" customHeight="1">
      <c r="D405" s="3" t="s">
        <v>1779</v>
      </c>
      <c r="E405" s="511"/>
      <c r="F405" s="511"/>
      <c r="G405" s="511"/>
      <c r="H405" s="511"/>
      <c r="I405" s="511"/>
      <c r="J405" s="511"/>
      <c r="K405" s="511"/>
      <c r="L405" s="511"/>
      <c r="M405" s="511"/>
      <c r="N405" s="511"/>
      <c r="O405" s="511"/>
      <c r="P405" s="511"/>
      <c r="Q405" s="511"/>
      <c r="R405" s="511"/>
      <c r="S405" s="1505" t="s">
        <v>2791</v>
      </c>
      <c r="T405" s="1505"/>
      <c r="U405" s="1505"/>
      <c r="V405" s="1505"/>
      <c r="W405" s="1505"/>
      <c r="X405" s="1505"/>
      <c r="Y405" s="1505"/>
      <c r="Z405" s="1505"/>
      <c r="AA405" s="1505"/>
      <c r="AB405" s="1505"/>
      <c r="AC405" s="1505"/>
      <c r="AD405" s="1505"/>
      <c r="AE405" s="1505"/>
      <c r="AF405" s="1505"/>
      <c r="AG405" s="1505"/>
      <c r="AH405" s="1505"/>
      <c r="AI405" s="1505"/>
      <c r="AJ405" s="1505"/>
    </row>
    <row r="406" spans="1:36" ht="12.95" customHeight="1">
      <c r="D406" s="1278" t="s">
        <v>1778</v>
      </c>
      <c r="E406" s="1278"/>
      <c r="F406" s="1278"/>
      <c r="G406" s="1278"/>
      <c r="H406" s="1278"/>
      <c r="I406" s="1278"/>
      <c r="J406" s="1278"/>
      <c r="K406" s="1278"/>
      <c r="L406" s="1278"/>
      <c r="M406" s="1278"/>
      <c r="N406" s="1278"/>
      <c r="O406" s="1278"/>
      <c r="P406" s="1278"/>
      <c r="Q406" s="1278"/>
      <c r="R406" s="1278"/>
      <c r="S406" s="1278"/>
      <c r="T406" s="1278"/>
      <c r="U406" s="1278"/>
      <c r="V406" s="1278"/>
      <c r="W406" s="1278"/>
      <c r="X406" s="1278"/>
      <c r="Y406" s="1278"/>
      <c r="Z406" s="1278"/>
      <c r="AA406" s="1278"/>
      <c r="AB406" s="1278"/>
      <c r="AC406" s="1278"/>
      <c r="AD406" s="1278"/>
      <c r="AE406" s="1278"/>
      <c r="AF406" s="1278"/>
      <c r="AG406" s="1278"/>
      <c r="AH406" s="1278"/>
      <c r="AI406" s="1278"/>
      <c r="AJ406" s="1278"/>
    </row>
    <row r="407" spans="1:36" ht="12.95" customHeight="1">
      <c r="D407" s="1278"/>
      <c r="E407" s="1278"/>
      <c r="F407" s="1278"/>
      <c r="G407" s="1278"/>
      <c r="H407" s="1278"/>
      <c r="I407" s="1278"/>
      <c r="J407" s="1278"/>
      <c r="K407" s="1278"/>
      <c r="L407" s="1278"/>
      <c r="M407" s="1278"/>
      <c r="N407" s="1278"/>
      <c r="O407" s="1278"/>
      <c r="P407" s="1278"/>
      <c r="Q407" s="1278"/>
      <c r="R407" s="1278"/>
      <c r="S407" s="1278"/>
      <c r="T407" s="1278"/>
      <c r="U407" s="1278"/>
      <c r="V407" s="1278"/>
      <c r="W407" s="1278"/>
      <c r="X407" s="1278"/>
      <c r="Y407" s="1278"/>
      <c r="Z407" s="1278"/>
      <c r="AA407" s="1278"/>
      <c r="AB407" s="1278"/>
      <c r="AC407" s="1278"/>
      <c r="AD407" s="1278"/>
      <c r="AE407" s="1278"/>
      <c r="AF407" s="1278"/>
      <c r="AG407" s="1278"/>
      <c r="AH407" s="1278"/>
      <c r="AI407" s="1278"/>
      <c r="AJ407" s="1278"/>
    </row>
    <row r="408" spans="1:36" ht="12.95" customHeight="1">
      <c r="AG408" s="490"/>
      <c r="AH408" s="490"/>
      <c r="AI408" s="490"/>
      <c r="AJ408" s="490"/>
    </row>
    <row r="409" spans="1:36" ht="12.95" customHeight="1">
      <c r="A409" s="2" t="s">
        <v>598</v>
      </c>
      <c r="B409" s="2"/>
      <c r="C409" s="2" t="s">
        <v>111</v>
      </c>
    </row>
    <row r="410" spans="1:36" ht="12.95" customHeight="1">
      <c r="B410" s="2"/>
      <c r="C410" s="2"/>
      <c r="D410" s="2" t="s">
        <v>1311</v>
      </c>
      <c r="I410" s="1554" t="s">
        <v>2731</v>
      </c>
      <c r="J410" s="1554"/>
      <c r="K410" s="1554"/>
      <c r="L410" s="1554"/>
      <c r="M410" s="1554"/>
      <c r="N410" s="1554"/>
      <c r="O410" s="1554"/>
      <c r="P410" s="1554"/>
      <c r="Q410" s="1554"/>
      <c r="R410" s="1554"/>
      <c r="S410" s="1554"/>
      <c r="T410" s="1554"/>
      <c r="U410" s="1554"/>
      <c r="V410" s="1554"/>
      <c r="W410" s="1554"/>
      <c r="X410" s="1554"/>
      <c r="Y410" s="1554"/>
      <c r="Z410" s="1554"/>
      <c r="AA410" s="1554"/>
      <c r="AB410" s="1554"/>
      <c r="AC410" s="1554"/>
      <c r="AD410" s="1554"/>
      <c r="AE410" s="1554"/>
    </row>
    <row r="411" spans="1:36" ht="12.95" customHeight="1">
      <c r="E411" t="s">
        <v>106</v>
      </c>
      <c r="R411" s="1494" t="s">
        <v>554</v>
      </c>
      <c r="S411" s="1494"/>
      <c r="AC411" s="27" t="s">
        <v>579</v>
      </c>
      <c r="AD411" s="1443">
        <v>6</v>
      </c>
      <c r="AE411" s="1443"/>
    </row>
    <row r="412" spans="1:36" ht="12.95" customHeight="1">
      <c r="E412" t="s">
        <v>107</v>
      </c>
      <c r="R412" s="1494" t="s">
        <v>600</v>
      </c>
      <c r="S412" s="1494"/>
      <c r="AC412" s="27" t="s">
        <v>579</v>
      </c>
      <c r="AD412" s="1443"/>
      <c r="AE412" s="1443"/>
    </row>
    <row r="413" spans="1:36" ht="12.95" customHeight="1">
      <c r="E413" t="s">
        <v>108</v>
      </c>
      <c r="S413" s="1494" t="s">
        <v>600</v>
      </c>
      <c r="T413" s="1494"/>
    </row>
    <row r="414" spans="1:36" ht="12.95" customHeight="1">
      <c r="E414" t="s">
        <v>170</v>
      </c>
      <c r="H414" s="1705" t="s">
        <v>335</v>
      </c>
      <c r="I414" s="1705"/>
      <c r="J414" s="1705"/>
      <c r="K414" s="1705"/>
      <c r="L414" s="1705"/>
      <c r="M414" s="1705"/>
      <c r="N414" s="1705"/>
      <c r="O414" s="1705"/>
      <c r="P414" s="1705"/>
      <c r="Q414" s="1705"/>
      <c r="R414" s="1705"/>
      <c r="S414" s="1705"/>
      <c r="T414" s="1705"/>
      <c r="U414" s="1705"/>
      <c r="V414" s="1705"/>
      <c r="W414" s="1705"/>
      <c r="X414" s="1705"/>
      <c r="Y414" s="1705"/>
      <c r="Z414" s="1705"/>
      <c r="AA414" s="1705"/>
      <c r="AB414" s="1705"/>
      <c r="AC414" s="1705"/>
      <c r="AD414" s="1705"/>
      <c r="AE414" s="1705"/>
    </row>
    <row r="415" spans="1:36" ht="12.95" customHeight="1">
      <c r="H415" s="1706"/>
      <c r="I415" s="1706"/>
      <c r="J415" s="1706"/>
      <c r="K415" s="1706"/>
      <c r="L415" s="1706"/>
      <c r="M415" s="1706"/>
      <c r="N415" s="1706"/>
      <c r="O415" s="1706"/>
      <c r="P415" s="1706"/>
      <c r="Q415" s="1706"/>
      <c r="R415" s="1706"/>
      <c r="S415" s="1706"/>
      <c r="T415" s="1706"/>
      <c r="U415" s="1706"/>
      <c r="V415" s="1706"/>
      <c r="W415" s="1706"/>
      <c r="X415" s="1706"/>
      <c r="Y415" s="1706"/>
      <c r="Z415" s="1706"/>
      <c r="AA415" s="1706"/>
      <c r="AB415" s="1706"/>
      <c r="AC415" s="1706"/>
      <c r="AD415" s="1706"/>
      <c r="AE415" s="1706"/>
    </row>
    <row r="416" spans="1:36" ht="12.95" customHeight="1"/>
    <row r="417" spans="1:39" ht="12.95" customHeight="1">
      <c r="A417" s="2" t="s">
        <v>599</v>
      </c>
      <c r="B417" s="2"/>
      <c r="C417" s="2"/>
      <c r="D417" s="2" t="s">
        <v>114</v>
      </c>
      <c r="AF417" s="2" t="s">
        <v>977</v>
      </c>
    </row>
    <row r="418" spans="1:39" ht="12.95" customHeight="1">
      <c r="E418" s="1495"/>
      <c r="F418" s="1495"/>
      <c r="G418" s="1495"/>
      <c r="H418" s="13" t="s">
        <v>115</v>
      </c>
      <c r="I418" s="1495"/>
      <c r="J418" s="1495"/>
      <c r="K418" s="1495"/>
      <c r="L418" t="s">
        <v>116</v>
      </c>
      <c r="N418" s="27" t="s">
        <v>584</v>
      </c>
      <c r="P418" s="1506">
        <v>3.61</v>
      </c>
      <c r="Q418" s="1506"/>
      <c r="R418" s="1506"/>
      <c r="S418" t="s">
        <v>117</v>
      </c>
      <c r="W418" s="1523">
        <f>IF(E418&gt;0,(E418*I418),(P418*43560))</f>
        <v>157251.6</v>
      </c>
      <c r="X418" s="1523"/>
      <c r="Y418" s="1523"/>
      <c r="Z418" t="s">
        <v>118</v>
      </c>
      <c r="AF418" s="1544">
        <f>IFERROR(IF(P418&gt;0,(AG437/P418),(AG437/(W418/43560))),0)</f>
        <v>40.720221606648202</v>
      </c>
      <c r="AG418" s="1544"/>
      <c r="AH418" s="1544"/>
      <c r="AM418" s="3"/>
    </row>
    <row r="419" spans="1:39" ht="12.95" customHeight="1">
      <c r="E419" t="s">
        <v>51</v>
      </c>
    </row>
    <row r="420" spans="1:39" ht="12.95" customHeight="1">
      <c r="E420" s="1519"/>
      <c r="F420" s="1519"/>
      <c r="G420" s="1519"/>
      <c r="H420" s="1519"/>
      <c r="I420" s="1519"/>
      <c r="J420" s="1519"/>
      <c r="K420" s="1519"/>
      <c r="L420" s="1519"/>
      <c r="M420" s="1519"/>
      <c r="N420" s="1519"/>
      <c r="O420" s="1519"/>
      <c r="P420" s="1519"/>
      <c r="Q420" s="1519"/>
      <c r="R420" s="1519"/>
      <c r="S420" s="1519"/>
      <c r="T420" s="1519"/>
      <c r="U420" s="1519"/>
      <c r="V420" s="1519"/>
      <c r="W420" s="1519"/>
      <c r="X420" s="1519"/>
      <c r="Y420" s="1519"/>
      <c r="Z420" s="1519"/>
      <c r="AA420" s="1519"/>
      <c r="AB420" s="1519"/>
      <c r="AC420" s="1519"/>
      <c r="AD420" s="1519"/>
      <c r="AE420" s="1519"/>
      <c r="AF420" s="1519"/>
      <c r="AG420" s="1519"/>
      <c r="AH420" s="1519"/>
      <c r="AI420" s="1519"/>
      <c r="AJ420" s="1519"/>
    </row>
    <row r="421" spans="1:39" ht="12.95" customHeight="1">
      <c r="E421" s="118" t="s">
        <v>1926</v>
      </c>
      <c r="F421" s="1048"/>
      <c r="G421" s="1048"/>
      <c r="H421" s="1048"/>
      <c r="I421" s="1701">
        <v>3.6080000000000001</v>
      </c>
      <c r="J421" s="1701"/>
      <c r="K421" s="1701"/>
      <c r="L421" s="1048"/>
      <c r="M421" s="118"/>
      <c r="N421" s="1048"/>
      <c r="O421" s="1048"/>
      <c r="P421" s="1707">
        <f>(CS634+CS642+CS658)/I421</f>
        <v>75.942350332594231</v>
      </c>
      <c r="Q421" s="1707"/>
      <c r="R421" s="1707"/>
      <c r="S421" s="118" t="s">
        <v>1927</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601</v>
      </c>
      <c r="B423" s="2"/>
      <c r="C423" s="2"/>
      <c r="D423" s="2" t="s">
        <v>120</v>
      </c>
    </row>
    <row r="424" spans="1:39" ht="12.95" customHeight="1">
      <c r="E424" t="s">
        <v>121</v>
      </c>
      <c r="P424" s="1494">
        <v>2</v>
      </c>
      <c r="Q424" s="1494"/>
      <c r="S424" t="s">
        <v>190</v>
      </c>
      <c r="AE424" s="1494">
        <v>2</v>
      </c>
      <c r="AF424" s="1494"/>
    </row>
    <row r="425" spans="1:39" ht="12.95" customHeight="1">
      <c r="E425" t="s">
        <v>191</v>
      </c>
      <c r="P425" s="1494">
        <v>0</v>
      </c>
      <c r="Q425" s="1494"/>
      <c r="S425" t="s">
        <v>131</v>
      </c>
      <c r="AE425" s="1494" t="s">
        <v>600</v>
      </c>
      <c r="AF425" s="1494"/>
    </row>
    <row r="426" spans="1:39" ht="12.95" customHeight="1">
      <c r="F426" s="28" t="s">
        <v>132</v>
      </c>
    </row>
    <row r="427" spans="1:39" ht="12.95" customHeight="1">
      <c r="F427" s="1496" t="s">
        <v>2736</v>
      </c>
      <c r="G427" s="1496"/>
      <c r="H427" s="1496"/>
      <c r="I427" s="1496"/>
      <c r="J427" s="1496"/>
      <c r="K427" s="1496"/>
      <c r="L427" s="1496"/>
      <c r="M427" s="1496"/>
      <c r="N427" s="1496"/>
      <c r="O427" s="1496"/>
      <c r="P427" s="1496"/>
      <c r="Q427" s="1496"/>
      <c r="R427" s="1496"/>
      <c r="S427" s="1496"/>
      <c r="T427" s="1496"/>
      <c r="U427" s="1496"/>
      <c r="V427" s="1496"/>
      <c r="W427" s="1496"/>
      <c r="X427" s="1496"/>
      <c r="Y427" s="1496"/>
      <c r="Z427" s="1496"/>
      <c r="AA427" s="1496"/>
      <c r="AB427" s="1496"/>
      <c r="AC427" s="1496"/>
      <c r="AD427" s="1496"/>
      <c r="AE427" s="1496"/>
      <c r="AF427" s="1496"/>
      <c r="AG427" s="1496"/>
      <c r="AH427" s="1496"/>
    </row>
    <row r="428" spans="1:39" ht="12.95" customHeight="1">
      <c r="F428" s="1469"/>
      <c r="G428" s="1469"/>
      <c r="H428" s="1469"/>
      <c r="I428" s="1469"/>
      <c r="J428" s="1469"/>
      <c r="K428" s="1469"/>
      <c r="L428" s="1469"/>
      <c r="M428" s="1469"/>
      <c r="N428" s="1469"/>
      <c r="O428" s="1469"/>
      <c r="P428" s="1469"/>
      <c r="Q428" s="1469"/>
      <c r="R428" s="1469"/>
      <c r="S428" s="1469"/>
      <c r="T428" s="1469"/>
      <c r="U428" s="1469"/>
      <c r="V428" s="1469"/>
      <c r="W428" s="1469"/>
      <c r="X428" s="1469"/>
      <c r="Y428" s="1469"/>
      <c r="Z428" s="1469"/>
      <c r="AA428" s="1469"/>
      <c r="AB428" s="1469"/>
      <c r="AC428" s="1469"/>
      <c r="AD428" s="1469"/>
      <c r="AE428" s="1469"/>
      <c r="AF428" s="1469"/>
      <c r="AG428" s="1469"/>
      <c r="AH428" s="1469"/>
    </row>
    <row r="429" spans="1:39" ht="12.95" customHeight="1">
      <c r="E429" t="s">
        <v>617</v>
      </c>
      <c r="P429" s="1"/>
      <c r="Q429" s="1494" t="s">
        <v>554</v>
      </c>
      <c r="R429" s="1494"/>
    </row>
    <row r="430" spans="1:39" ht="12.95" customHeight="1">
      <c r="F430" t="s">
        <v>618</v>
      </c>
      <c r="P430" s="1"/>
      <c r="Q430" s="1"/>
      <c r="AF430" s="1494" t="s">
        <v>600</v>
      </c>
      <c r="AG430" s="1503"/>
    </row>
    <row r="431" spans="1:39" ht="12.95" customHeight="1"/>
    <row r="432" spans="1:39" ht="12.95" customHeight="1">
      <c r="A432" s="2"/>
      <c r="B432" s="2"/>
      <c r="C432" s="2"/>
      <c r="E432" s="4" t="s">
        <v>309</v>
      </c>
      <c r="Z432" s="1494" t="s">
        <v>678</v>
      </c>
      <c r="AA432" s="1494"/>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717</v>
      </c>
      <c r="G434" s="40"/>
      <c r="I434" s="40"/>
      <c r="J434" s="40"/>
      <c r="K434" s="40"/>
      <c r="L434" s="40"/>
      <c r="M434" s="40"/>
      <c r="N434" s="40"/>
      <c r="O434" s="28"/>
      <c r="P434" s="40"/>
      <c r="Q434" s="40"/>
      <c r="R434" s="40"/>
      <c r="S434" s="40"/>
      <c r="T434" s="40"/>
      <c r="U434" s="40"/>
      <c r="V434" s="40"/>
      <c r="W434" s="40"/>
      <c r="Z434" s="1494" t="s">
        <v>600</v>
      </c>
      <c r="AA434" s="1494"/>
    </row>
    <row r="435" spans="1:110" ht="12.95" customHeight="1"/>
    <row r="436" spans="1:110" ht="12.95" customHeight="1">
      <c r="A436" s="2" t="s">
        <v>476</v>
      </c>
      <c r="B436" s="2"/>
      <c r="C436" s="2"/>
      <c r="D436" s="2" t="s">
        <v>774</v>
      </c>
      <c r="AF436" s="48"/>
    </row>
    <row r="437" spans="1:110" ht="12.95" customHeight="1">
      <c r="D437" s="1497" t="s">
        <v>43</v>
      </c>
      <c r="E437" s="1498"/>
      <c r="F437" s="1498"/>
      <c r="G437" s="1498"/>
      <c r="H437" s="1498"/>
      <c r="I437" s="1498"/>
      <c r="J437" s="1498"/>
      <c r="K437" s="1498"/>
      <c r="L437" s="1498"/>
      <c r="M437" s="1498"/>
      <c r="N437" s="1498"/>
      <c r="O437" s="1498"/>
      <c r="P437" s="1498"/>
      <c r="Q437" s="1498"/>
      <c r="R437" s="1498"/>
      <c r="S437" s="1498"/>
      <c r="T437" s="1498"/>
      <c r="U437" s="1498"/>
      <c r="V437" s="1498"/>
      <c r="W437" s="1498"/>
      <c r="X437" s="1498"/>
      <c r="Y437" s="1498"/>
      <c r="Z437" s="1498"/>
      <c r="AA437" s="1498"/>
      <c r="AB437" s="1498"/>
      <c r="AC437" s="1498"/>
      <c r="AD437" s="1498"/>
      <c r="AE437" s="1498"/>
      <c r="AF437" s="1499"/>
      <c r="AG437" s="1471">
        <v>147</v>
      </c>
      <c r="AH437" s="1471"/>
      <c r="AI437" s="1471"/>
      <c r="AJ437" s="1471"/>
    </row>
    <row r="438" spans="1:110" ht="12.95" customHeight="1">
      <c r="D438" s="1500" t="s">
        <v>1330</v>
      </c>
      <c r="E438" s="1501"/>
      <c r="F438" s="1501"/>
      <c r="G438" s="1501"/>
      <c r="H438" s="1501"/>
      <c r="I438" s="1501"/>
      <c r="J438" s="1501"/>
      <c r="K438" s="1501"/>
      <c r="L438" s="1501"/>
      <c r="M438" s="1501"/>
      <c r="N438" s="1501"/>
      <c r="O438" s="1501"/>
      <c r="P438" s="1501"/>
      <c r="Q438" s="1501"/>
      <c r="R438" s="1501"/>
      <c r="S438" s="1501"/>
      <c r="T438" s="1501"/>
      <c r="U438" s="1501"/>
      <c r="V438" s="1501"/>
      <c r="W438" s="1501"/>
      <c r="X438" s="1501"/>
      <c r="Y438" s="1501"/>
      <c r="Z438" s="1501"/>
      <c r="AA438" s="1501"/>
      <c r="AB438" s="1501"/>
      <c r="AC438" s="1501"/>
      <c r="AD438" s="1501"/>
      <c r="AE438" s="1501"/>
      <c r="AF438" s="1502"/>
      <c r="AG438" s="1517">
        <v>0</v>
      </c>
      <c r="AH438" s="1518"/>
      <c r="AI438" s="1518"/>
      <c r="AJ438" s="1518"/>
    </row>
    <row r="439" spans="1:110" ht="12.95" customHeight="1">
      <c r="D439" s="1500" t="s">
        <v>1056</v>
      </c>
      <c r="E439" s="1501"/>
      <c r="F439" s="1501"/>
      <c r="G439" s="1501"/>
      <c r="H439" s="1501"/>
      <c r="I439" s="1501"/>
      <c r="J439" s="1501"/>
      <c r="K439" s="1501"/>
      <c r="L439" s="1501"/>
      <c r="M439" s="1501"/>
      <c r="N439" s="1501"/>
      <c r="O439" s="1501"/>
      <c r="P439" s="1501"/>
      <c r="Q439" s="1501"/>
      <c r="R439" s="1501"/>
      <c r="S439" s="1501"/>
      <c r="T439" s="1501"/>
      <c r="U439" s="1501"/>
      <c r="V439" s="1501"/>
      <c r="W439" s="1501"/>
      <c r="X439" s="1501"/>
      <c r="Y439" s="1501"/>
      <c r="Z439" s="1501"/>
      <c r="AA439" s="1501"/>
      <c r="AB439" s="1501"/>
      <c r="AC439" s="1501"/>
      <c r="AD439" s="1501"/>
      <c r="AE439" s="1501"/>
      <c r="AF439" s="1502"/>
      <c r="AG439" s="1471">
        <v>145</v>
      </c>
      <c r="AH439" s="1471"/>
      <c r="AI439" s="1471"/>
      <c r="AJ439" s="1471"/>
    </row>
    <row r="440" spans="1:110" ht="12.95" customHeight="1">
      <c r="D440" s="1500" t="s">
        <v>1057</v>
      </c>
      <c r="E440" s="1501"/>
      <c r="F440" s="1501"/>
      <c r="G440" s="1501"/>
      <c r="H440" s="1501"/>
      <c r="I440" s="1501"/>
      <c r="J440" s="1501"/>
      <c r="K440" s="1501"/>
      <c r="L440" s="1501"/>
      <c r="M440" s="1501"/>
      <c r="N440" s="1501"/>
      <c r="O440" s="1501"/>
      <c r="P440" s="1501"/>
      <c r="Q440" s="1501"/>
      <c r="R440" s="1501"/>
      <c r="S440" s="1501"/>
      <c r="T440" s="1501"/>
      <c r="U440" s="1501"/>
      <c r="V440" s="1501"/>
      <c r="W440" s="1501"/>
      <c r="X440" s="1501"/>
      <c r="Y440" s="1501"/>
      <c r="Z440" s="1501"/>
      <c r="AA440" s="1501"/>
      <c r="AB440" s="1501"/>
      <c r="AC440" s="1501"/>
      <c r="AD440" s="1501"/>
      <c r="AE440" s="1501"/>
      <c r="AF440" s="1502"/>
      <c r="AG440" s="1471">
        <v>145</v>
      </c>
      <c r="AH440" s="1471"/>
      <c r="AI440" s="1471"/>
      <c r="AJ440" s="1471"/>
    </row>
    <row r="441" spans="1:110" ht="12.95" customHeight="1">
      <c r="D441" s="1500" t="s">
        <v>1059</v>
      </c>
      <c r="E441" s="1501"/>
      <c r="F441" s="1501"/>
      <c r="G441" s="1501"/>
      <c r="H441" s="1501"/>
      <c r="I441" s="1501"/>
      <c r="J441" s="1501"/>
      <c r="K441" s="1501"/>
      <c r="L441" s="1501"/>
      <c r="M441" s="1501"/>
      <c r="N441" s="1501"/>
      <c r="O441" s="1501"/>
      <c r="P441" s="1501"/>
      <c r="Q441" s="1501"/>
      <c r="R441" s="1501"/>
      <c r="S441" s="1501"/>
      <c r="T441" s="1501"/>
      <c r="U441" s="1501"/>
      <c r="V441" s="1501"/>
      <c r="W441" s="1501"/>
      <c r="X441" s="1501"/>
      <c r="Y441" s="1501"/>
      <c r="Z441" s="1501"/>
      <c r="AA441" s="1501"/>
      <c r="AB441" s="1501"/>
      <c r="AC441" s="1501"/>
      <c r="AD441" s="1501"/>
      <c r="AE441" s="1501"/>
      <c r="AF441" s="1502"/>
      <c r="AG441" s="1473">
        <f>IF(ISERROR(AG440/AG439),"",AG440/AG439)</f>
        <v>1</v>
      </c>
      <c r="AH441" s="1473"/>
      <c r="AI441" s="1473"/>
      <c r="AJ441" s="1473"/>
    </row>
    <row r="442" spans="1:110" ht="12.95" customHeight="1">
      <c r="D442" s="1500" t="s">
        <v>1058</v>
      </c>
      <c r="E442" s="1501"/>
      <c r="F442" s="1501"/>
      <c r="G442" s="1501"/>
      <c r="H442" s="1501"/>
      <c r="I442" s="1501"/>
      <c r="J442" s="1501"/>
      <c r="K442" s="1501"/>
      <c r="L442" s="1501"/>
      <c r="M442" s="1501"/>
      <c r="N442" s="1501"/>
      <c r="O442" s="1501"/>
      <c r="P442" s="1501"/>
      <c r="Q442" s="1501"/>
      <c r="R442" s="1501"/>
      <c r="S442" s="1501"/>
      <c r="T442" s="1501"/>
      <c r="U442" s="1501"/>
      <c r="V442" s="1501"/>
      <c r="W442" s="1501"/>
      <c r="X442" s="1501"/>
      <c r="Y442" s="1501"/>
      <c r="Z442" s="1501"/>
      <c r="AA442" s="1501"/>
      <c r="AB442" s="1501"/>
      <c r="AC442" s="1501"/>
      <c r="AD442" s="1501"/>
      <c r="AE442" s="1501"/>
      <c r="AF442" s="1502"/>
      <c r="AG442" s="1472">
        <v>103780</v>
      </c>
      <c r="AH442" s="1472"/>
      <c r="AI442" s="1472"/>
      <c r="AJ442" s="1472"/>
    </row>
    <row r="443" spans="1:110" ht="12.95" customHeight="1">
      <c r="D443" s="1500" t="s">
        <v>1060</v>
      </c>
      <c r="E443" s="1501"/>
      <c r="F443" s="1501"/>
      <c r="G443" s="1501"/>
      <c r="H443" s="1501"/>
      <c r="I443" s="1501"/>
      <c r="J443" s="1501"/>
      <c r="K443" s="1501"/>
      <c r="L443" s="1501"/>
      <c r="M443" s="1501"/>
      <c r="N443" s="1501"/>
      <c r="O443" s="1501"/>
      <c r="P443" s="1501"/>
      <c r="Q443" s="1501"/>
      <c r="R443" s="1501"/>
      <c r="S443" s="1501"/>
      <c r="T443" s="1501"/>
      <c r="U443" s="1501"/>
      <c r="V443" s="1501"/>
      <c r="W443" s="1501"/>
      <c r="X443" s="1501"/>
      <c r="Y443" s="1501"/>
      <c r="Z443" s="1501"/>
      <c r="AA443" s="1501"/>
      <c r="AB443" s="1501"/>
      <c r="AC443" s="1501"/>
      <c r="AD443" s="1501"/>
      <c r="AE443" s="1501"/>
      <c r="AF443" s="1502"/>
      <c r="AG443" s="1472">
        <v>103780</v>
      </c>
      <c r="AH443" s="1472"/>
      <c r="AI443" s="1472"/>
      <c r="AJ443" s="1472"/>
    </row>
    <row r="444" spans="1:110" ht="12.95" customHeight="1">
      <c r="D444" s="1500" t="s">
        <v>1061</v>
      </c>
      <c r="E444" s="1501"/>
      <c r="F444" s="1501"/>
      <c r="G444" s="1501"/>
      <c r="H444" s="1501"/>
      <c r="I444" s="1501"/>
      <c r="J444" s="1501"/>
      <c r="K444" s="1501"/>
      <c r="L444" s="1501"/>
      <c r="M444" s="1501"/>
      <c r="N444" s="1501"/>
      <c r="O444" s="1501"/>
      <c r="P444" s="1501"/>
      <c r="Q444" s="1501"/>
      <c r="R444" s="1501"/>
      <c r="S444" s="1501"/>
      <c r="T444" s="1501"/>
      <c r="U444" s="1501"/>
      <c r="V444" s="1501"/>
      <c r="W444" s="1501"/>
      <c r="X444" s="1501"/>
      <c r="Y444" s="1501"/>
      <c r="Z444" s="1501"/>
      <c r="AA444" s="1501"/>
      <c r="AB444" s="1501"/>
      <c r="AC444" s="1501"/>
      <c r="AD444" s="1501"/>
      <c r="AE444" s="1501"/>
      <c r="AF444" s="1502"/>
      <c r="AG444" s="1473">
        <f>IF(ISERROR(AG443/AG442),"",AG443/AG442)</f>
        <v>1</v>
      </c>
      <c r="AH444" s="1473"/>
      <c r="AI444" s="1473"/>
      <c r="AJ444" s="1473"/>
    </row>
    <row r="445" spans="1:110" ht="12.95" customHeight="1">
      <c r="D445" s="1500" t="s">
        <v>1062</v>
      </c>
      <c r="E445" s="1501"/>
      <c r="F445" s="1501"/>
      <c r="G445" s="1501"/>
      <c r="H445" s="1501"/>
      <c r="I445" s="1501"/>
      <c r="J445" s="1501"/>
      <c r="K445" s="1501"/>
      <c r="L445" s="1501"/>
      <c r="M445" s="1501"/>
      <c r="N445" s="1501"/>
      <c r="O445" s="1501"/>
      <c r="P445" s="1501"/>
      <c r="Q445" s="1501"/>
      <c r="R445" s="1501"/>
      <c r="S445" s="1501"/>
      <c r="T445" s="1501"/>
      <c r="U445" s="1501"/>
      <c r="V445" s="1501"/>
      <c r="W445" s="1501"/>
      <c r="X445" s="1501"/>
      <c r="Y445" s="1501"/>
      <c r="Z445" s="1501"/>
      <c r="AA445" s="1501"/>
      <c r="AB445" s="1501"/>
      <c r="AC445" s="1501"/>
      <c r="AD445" s="1501"/>
      <c r="AE445" s="1501"/>
      <c r="AF445" s="1502"/>
      <c r="AG445" s="1473">
        <f>MIN(IF(AG441&gt;AG444,AG444,AG441),1)</f>
        <v>1</v>
      </c>
      <c r="AH445" s="1473"/>
      <c r="AI445" s="1473"/>
      <c r="AJ445" s="1473"/>
    </row>
    <row r="446" spans="1:110" ht="12.95" customHeight="1">
      <c r="D446" s="1500" t="s">
        <v>2404</v>
      </c>
      <c r="E446" s="1498"/>
      <c r="F446" s="1498"/>
      <c r="G446" s="1498"/>
      <c r="H446" s="1498"/>
      <c r="I446" s="1498"/>
      <c r="J446" s="1498"/>
      <c r="K446" s="1498"/>
      <c r="L446" s="1498"/>
      <c r="M446" s="1498"/>
      <c r="N446" s="1498"/>
      <c r="O446" s="1498"/>
      <c r="P446" s="1498"/>
      <c r="Q446" s="1498"/>
      <c r="R446" s="1498"/>
      <c r="S446" s="1498"/>
      <c r="T446" s="1498"/>
      <c r="U446" s="1498"/>
      <c r="V446" s="1498"/>
      <c r="W446" s="1498"/>
      <c r="X446" s="1498"/>
      <c r="Y446" s="1498"/>
      <c r="Z446" s="1498"/>
      <c r="AA446" s="1498"/>
      <c r="AB446" s="1498"/>
      <c r="AC446" s="1498"/>
      <c r="AD446" s="1498"/>
      <c r="AE446" s="1498"/>
      <c r="AF446" s="1499"/>
      <c r="AG446" s="1472">
        <v>5055</v>
      </c>
      <c r="AH446" s="1472"/>
      <c r="AI446" s="1472"/>
      <c r="AJ446" s="1472"/>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97" t="s">
        <v>578</v>
      </c>
      <c r="E447" s="1498"/>
      <c r="F447" s="1498"/>
      <c r="G447" s="1498"/>
      <c r="H447" s="1498"/>
      <c r="I447" s="1498"/>
      <c r="J447" s="1498"/>
      <c r="K447" s="1498"/>
      <c r="L447" s="1498"/>
      <c r="M447" s="1498"/>
      <c r="N447" s="1498"/>
      <c r="O447" s="1498"/>
      <c r="P447" s="1498"/>
      <c r="Q447" s="1498"/>
      <c r="R447" s="1498"/>
      <c r="S447" s="1498"/>
      <c r="T447" s="1498"/>
      <c r="U447" s="1498"/>
      <c r="V447" s="1498"/>
      <c r="W447" s="1498"/>
      <c r="X447" s="1498"/>
      <c r="Y447" s="1498"/>
      <c r="Z447" s="1498"/>
      <c r="AA447" s="1498"/>
      <c r="AB447" s="1498"/>
      <c r="AC447" s="1498"/>
      <c r="AD447" s="1498"/>
      <c r="AE447" s="1498"/>
      <c r="AF447" s="1499"/>
      <c r="AG447" s="1472">
        <v>0</v>
      </c>
      <c r="AH447" s="1472"/>
      <c r="AI447" s="1472"/>
      <c r="AJ447" s="1472"/>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500" t="s">
        <v>1312</v>
      </c>
      <c r="E448" s="1498"/>
      <c r="F448" s="1498"/>
      <c r="G448" s="1498"/>
      <c r="H448" s="1498"/>
      <c r="I448" s="1498"/>
      <c r="J448" s="1498"/>
      <c r="K448" s="1498"/>
      <c r="L448" s="1498"/>
      <c r="M448" s="1498"/>
      <c r="N448" s="1498"/>
      <c r="O448" s="1498"/>
      <c r="P448" s="1498"/>
      <c r="Q448" s="1498"/>
      <c r="R448" s="1498"/>
      <c r="S448" s="1498"/>
      <c r="T448" s="1498"/>
      <c r="U448" s="1498"/>
      <c r="V448" s="1498"/>
      <c r="W448" s="1498"/>
      <c r="X448" s="1498"/>
      <c r="Y448" s="1498"/>
      <c r="Z448" s="1498"/>
      <c r="AA448" s="1498"/>
      <c r="AB448" s="1498"/>
      <c r="AC448" s="1498"/>
      <c r="AD448" s="1498"/>
      <c r="AE448" s="1498"/>
      <c r="AF448" s="1499"/>
      <c r="AG448" s="1472">
        <v>7150</v>
      </c>
      <c r="AH448" s="1472"/>
      <c r="AI448" s="1472"/>
      <c r="AJ448" s="1472"/>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500" t="s">
        <v>1063</v>
      </c>
      <c r="E449" s="1498"/>
      <c r="F449" s="1498"/>
      <c r="G449" s="1498"/>
      <c r="H449" s="1498"/>
      <c r="I449" s="1498"/>
      <c r="J449" s="1498"/>
      <c r="K449" s="1498"/>
      <c r="L449" s="1498"/>
      <c r="M449" s="1498"/>
      <c r="N449" s="1498"/>
      <c r="O449" s="1498"/>
      <c r="P449" s="1498"/>
      <c r="Q449" s="1498"/>
      <c r="R449" s="1498"/>
      <c r="S449" s="1498"/>
      <c r="T449" s="1498"/>
      <c r="U449" s="1498"/>
      <c r="V449" s="1498"/>
      <c r="W449" s="1498"/>
      <c r="X449" s="1498"/>
      <c r="Y449" s="1498"/>
      <c r="Z449" s="1498"/>
      <c r="AA449" s="1498"/>
      <c r="AB449" s="1498"/>
      <c r="AC449" s="1498"/>
      <c r="AD449" s="1498"/>
      <c r="AE449" s="1498"/>
      <c r="AF449" s="1499"/>
      <c r="AG449" s="1472">
        <v>39410</v>
      </c>
      <c r="AH449" s="1472"/>
      <c r="AI449" s="1472"/>
      <c r="AJ449" s="1472"/>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98" t="s">
        <v>1064</v>
      </c>
      <c r="E450" s="1599"/>
      <c r="F450" s="1599"/>
      <c r="G450" s="1599"/>
      <c r="H450" s="1599"/>
      <c r="I450" s="1599"/>
      <c r="J450" s="1599"/>
      <c r="K450" s="1599"/>
      <c r="L450" s="1599"/>
      <c r="M450" s="1599"/>
      <c r="N450" s="1599"/>
      <c r="O450" s="1599"/>
      <c r="P450" s="1599"/>
      <c r="Q450" s="1599"/>
      <c r="R450" s="1599"/>
      <c r="S450" s="1599"/>
      <c r="T450" s="1599"/>
      <c r="U450" s="1599"/>
      <c r="V450" s="1599"/>
      <c r="W450" s="1599"/>
      <c r="X450" s="1599"/>
      <c r="Y450" s="1599"/>
      <c r="Z450" s="1599"/>
      <c r="AA450" s="1599"/>
      <c r="AB450" s="1599"/>
      <c r="AC450" s="1599"/>
      <c r="AD450" s="1599"/>
      <c r="AE450" s="1599"/>
      <c r="AF450" s="1600"/>
      <c r="AG450" s="1522">
        <f>AG442+AG446+AG448+AG449</f>
        <v>155395</v>
      </c>
      <c r="AH450" s="1522"/>
      <c r="AI450" s="1522"/>
      <c r="AJ450" s="1522"/>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45" t="s">
        <v>1313</v>
      </c>
      <c r="E451" s="1545"/>
      <c r="F451" s="1545"/>
      <c r="G451" s="1545"/>
      <c r="H451" s="1545"/>
      <c r="I451" s="1545"/>
      <c r="J451" s="1545"/>
      <c r="K451" s="1545"/>
      <c r="L451" s="1545"/>
      <c r="M451" s="1545"/>
      <c r="N451" s="1545"/>
      <c r="O451" s="1545"/>
      <c r="P451" s="1545"/>
      <c r="Q451" s="1545"/>
      <c r="R451" s="1545"/>
      <c r="S451" s="1545"/>
      <c r="T451" s="1545"/>
      <c r="U451" s="1545"/>
      <c r="V451" s="1545"/>
      <c r="W451" s="1545"/>
      <c r="X451" s="1545"/>
      <c r="Y451" s="1545"/>
      <c r="Z451" s="1545"/>
      <c r="AA451" s="1545"/>
      <c r="AB451" s="1545"/>
      <c r="AC451" s="1545"/>
      <c r="AD451" s="1545"/>
      <c r="AE451" s="1545"/>
      <c r="AF451" s="1545"/>
      <c r="AG451" s="1545"/>
      <c r="AH451" s="1545"/>
      <c r="AI451" s="1545"/>
      <c r="AJ451" s="1545"/>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46"/>
      <c r="E452" s="1546"/>
      <c r="F452" s="1546"/>
      <c r="G452" s="1546"/>
      <c r="H452" s="1546"/>
      <c r="I452" s="1546"/>
      <c r="J452" s="1546"/>
      <c r="K452" s="1546"/>
      <c r="L452" s="1546"/>
      <c r="M452" s="1546"/>
      <c r="N452" s="1546"/>
      <c r="O452" s="1546"/>
      <c r="P452" s="1546"/>
      <c r="Q452" s="1546"/>
      <c r="R452" s="1546"/>
      <c r="S452" s="1546"/>
      <c r="T452" s="1546"/>
      <c r="U452" s="1546"/>
      <c r="V452" s="1546"/>
      <c r="W452" s="1546"/>
      <c r="X452" s="1546"/>
      <c r="Y452" s="1546"/>
      <c r="Z452" s="1546"/>
      <c r="AA452" s="1546"/>
      <c r="AB452" s="1546"/>
      <c r="AC452" s="1546"/>
      <c r="AD452" s="1546"/>
      <c r="AE452" s="1546"/>
      <c r="AF452" s="1546"/>
      <c r="AG452" s="1546"/>
      <c r="AH452" s="1546"/>
      <c r="AI452" s="1546"/>
      <c r="AJ452" s="1546"/>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90">
        <f>IF(AG437=0,"",'Sources and Uses Budget'!B105/Application!AG437)</f>
        <v>738403.59183673467</v>
      </c>
      <c r="AD454" s="1490"/>
      <c r="AE454" s="1490"/>
      <c r="AF454" s="1490"/>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90">
        <f>IF(AG437=0,"",'Sources and Uses Budget'!C105/Application!AG437)</f>
        <v>738403.59183673467</v>
      </c>
      <c r="AD455" s="1490"/>
      <c r="AE455" s="1490"/>
      <c r="AF455" s="1490"/>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90">
        <f>IF(AG437=0,"",('Sources and Uses Budget'!$S$107+'Sources and Uses Budget'!$T$107)/Application!AG437)</f>
        <v>702580.4557823129</v>
      </c>
      <c r="AD456" s="1490"/>
      <c r="AE456" s="1490"/>
      <c r="AF456" s="1490"/>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16"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16"/>
      <c r="H457" s="1416"/>
      <c r="I457" s="1416"/>
      <c r="J457" s="1416"/>
      <c r="K457" s="1416"/>
      <c r="L457" s="1416"/>
      <c r="M457" s="1416"/>
      <c r="N457" s="1416"/>
      <c r="O457" s="1416"/>
      <c r="P457" s="1416"/>
      <c r="Q457" s="1416"/>
      <c r="R457" s="1416"/>
      <c r="S457" s="1416"/>
      <c r="T457" s="1416"/>
      <c r="U457" s="1416"/>
      <c r="V457" s="1416"/>
      <c r="W457" s="1416"/>
      <c r="X457" s="1416"/>
      <c r="Y457" s="1416"/>
      <c r="Z457" s="1416"/>
      <c r="AA457" s="1416"/>
      <c r="AB457" s="1416"/>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16"/>
      <c r="G458" s="1416"/>
      <c r="H458" s="1416"/>
      <c r="I458" s="1416"/>
      <c r="J458" s="1416"/>
      <c r="K458" s="1416"/>
      <c r="L458" s="1416"/>
      <c r="M458" s="1416"/>
      <c r="N458" s="1416"/>
      <c r="O458" s="1416"/>
      <c r="P458" s="1416"/>
      <c r="Q458" s="1416"/>
      <c r="R458" s="1416"/>
      <c r="S458" s="1416"/>
      <c r="T458" s="1416"/>
      <c r="U458" s="1416"/>
      <c r="V458" s="1416"/>
      <c r="W458" s="1416"/>
      <c r="X458" s="1416"/>
      <c r="Y458" s="1416"/>
      <c r="Z458" s="1416"/>
      <c r="AA458" s="1416"/>
      <c r="AB458" s="1416"/>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2067</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2068</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2069</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26" t="s">
        <v>2418</v>
      </c>
      <c r="E465" s="1460"/>
      <c r="F465" s="1460"/>
      <c r="G465" s="1460"/>
      <c r="H465" s="1460"/>
      <c r="I465" s="1460"/>
      <c r="J465" s="1460"/>
      <c r="K465" s="1460"/>
      <c r="L465" s="1460"/>
      <c r="M465" s="1460"/>
      <c r="N465" s="1460"/>
      <c r="O465" s="1460"/>
      <c r="P465" s="1460"/>
      <c r="Q465" s="1460"/>
      <c r="R465" s="1460"/>
      <c r="S465" s="1460"/>
      <c r="T465" s="1460"/>
      <c r="U465" s="1460"/>
      <c r="V465" s="1461"/>
      <c r="W465" s="1429">
        <v>0</v>
      </c>
      <c r="X465" s="1430"/>
      <c r="Y465" s="1431"/>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59" t="s">
        <v>703</v>
      </c>
      <c r="E466" s="1460"/>
      <c r="F466" s="1460"/>
      <c r="G466" s="1460"/>
      <c r="H466" s="1460"/>
      <c r="I466" s="1460"/>
      <c r="J466" s="1460"/>
      <c r="K466" s="1460"/>
      <c r="L466" s="1460"/>
      <c r="M466" s="1460"/>
      <c r="N466" s="1460"/>
      <c r="O466" s="1460"/>
      <c r="P466" s="1460"/>
      <c r="Q466" s="1460"/>
      <c r="R466" s="1460"/>
      <c r="S466" s="1460"/>
      <c r="T466" s="1460"/>
      <c r="U466" s="1460"/>
      <c r="V466" s="1461"/>
      <c r="W466" s="1429">
        <v>0</v>
      </c>
      <c r="X466" s="1430"/>
      <c r="Y466" s="1431"/>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59" t="s">
        <v>704</v>
      </c>
      <c r="E467" s="1460"/>
      <c r="F467" s="1460"/>
      <c r="G467" s="1460"/>
      <c r="H467" s="1460"/>
      <c r="I467" s="1460"/>
      <c r="J467" s="1460"/>
      <c r="K467" s="1460"/>
      <c r="L467" s="1460"/>
      <c r="M467" s="1460"/>
      <c r="N467" s="1460"/>
      <c r="O467" s="1460"/>
      <c r="P467" s="1460"/>
      <c r="Q467" s="1460"/>
      <c r="R467" s="1460"/>
      <c r="S467" s="1460"/>
      <c r="T467" s="1460"/>
      <c r="U467" s="1460"/>
      <c r="V467" s="1461"/>
      <c r="W467" s="1429">
        <v>0</v>
      </c>
      <c r="X467" s="1430"/>
      <c r="Y467" s="1431"/>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59" t="s">
        <v>705</v>
      </c>
      <c r="E468" s="1460"/>
      <c r="F468" s="1460"/>
      <c r="G468" s="1460"/>
      <c r="H468" s="1460"/>
      <c r="I468" s="1460"/>
      <c r="J468" s="1460"/>
      <c r="K468" s="1460"/>
      <c r="L468" s="1460"/>
      <c r="M468" s="1460"/>
      <c r="N468" s="1460"/>
      <c r="O468" s="1460"/>
      <c r="P468" s="1460"/>
      <c r="Q468" s="1460"/>
      <c r="R468" s="1460"/>
      <c r="S468" s="1460"/>
      <c r="T468" s="1460"/>
      <c r="U468" s="1460"/>
      <c r="V468" s="1461"/>
      <c r="W468" s="1429">
        <v>0</v>
      </c>
      <c r="X468" s="1430"/>
      <c r="Y468" s="1431"/>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59" t="s">
        <v>894</v>
      </c>
      <c r="E469" s="1460"/>
      <c r="F469" s="1460"/>
      <c r="G469" s="1460"/>
      <c r="H469" s="1460"/>
      <c r="I469" s="1460"/>
      <c r="J469" s="1460"/>
      <c r="K469" s="1460"/>
      <c r="L469" s="1460"/>
      <c r="M469" s="1460"/>
      <c r="N469" s="1460"/>
      <c r="O469" s="1460"/>
      <c r="P469" s="1460"/>
      <c r="Q469" s="1460"/>
      <c r="R469" s="1460"/>
      <c r="S469" s="1460"/>
      <c r="T469" s="1460"/>
      <c r="U469" s="1460"/>
      <c r="V469" s="1461"/>
      <c r="W469" s="1429">
        <v>0</v>
      </c>
      <c r="X469" s="1430"/>
      <c r="Y469" s="1431"/>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59" t="s">
        <v>706</v>
      </c>
      <c r="E470" s="1460"/>
      <c r="F470" s="1460"/>
      <c r="G470" s="1460"/>
      <c r="H470" s="1460"/>
      <c r="I470" s="1460"/>
      <c r="J470" s="1460"/>
      <c r="K470" s="1460"/>
      <c r="L470" s="1460"/>
      <c r="M470" s="1460"/>
      <c r="N470" s="1460"/>
      <c r="O470" s="1460"/>
      <c r="P470" s="1460"/>
      <c r="Q470" s="1460"/>
      <c r="R470" s="1460"/>
      <c r="S470" s="1460"/>
      <c r="T470" s="1460"/>
      <c r="U470" s="1460"/>
      <c r="V470" s="1461"/>
      <c r="W470" s="1429">
        <v>0</v>
      </c>
      <c r="X470" s="1430"/>
      <c r="Y470" s="1431"/>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59" t="s">
        <v>1037</v>
      </c>
      <c r="E471" s="1460"/>
      <c r="F471" s="1460"/>
      <c r="G471" s="1460"/>
      <c r="H471" s="1460"/>
      <c r="I471" s="1460"/>
      <c r="J471" s="1460"/>
      <c r="K471" s="1460"/>
      <c r="L471" s="1460"/>
      <c r="M471" s="1460"/>
      <c r="N471" s="1460"/>
      <c r="O471" s="1460"/>
      <c r="P471" s="1460"/>
      <c r="Q471" s="1460"/>
      <c r="R471" s="1460"/>
      <c r="S471" s="1460"/>
      <c r="T471" s="1460"/>
      <c r="U471" s="1460"/>
      <c r="V471" s="1461"/>
      <c r="W471" s="1429">
        <v>0</v>
      </c>
      <c r="X471" s="1430"/>
      <c r="Y471" s="1431"/>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26" t="s">
        <v>2553</v>
      </c>
      <c r="E472" s="1427"/>
      <c r="F472" s="1427"/>
      <c r="G472" s="1427"/>
      <c r="H472" s="1427"/>
      <c r="I472" s="1427"/>
      <c r="J472" s="1427"/>
      <c r="K472" s="1427"/>
      <c r="L472" s="1427"/>
      <c r="M472" s="1427"/>
      <c r="N472" s="1427"/>
      <c r="O472" s="1427"/>
      <c r="P472" s="1427"/>
      <c r="Q472" s="1427"/>
      <c r="R472" s="1427"/>
      <c r="S472" s="1427"/>
      <c r="T472" s="1427"/>
      <c r="U472" s="1427"/>
      <c r="V472" s="1428"/>
      <c r="W472" s="1429">
        <v>4</v>
      </c>
      <c r="X472" s="1430"/>
      <c r="Y472" s="1431"/>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26" t="s">
        <v>1767</v>
      </c>
      <c r="E473" s="1460"/>
      <c r="F473" s="1460"/>
      <c r="G473" s="1460"/>
      <c r="H473" s="1460"/>
      <c r="I473" s="1460"/>
      <c r="J473" s="1460"/>
      <c r="K473" s="1460"/>
      <c r="L473" s="1460"/>
      <c r="M473" s="1460"/>
      <c r="N473" s="1460"/>
      <c r="O473" s="1460"/>
      <c r="P473" s="1460"/>
      <c r="Q473" s="1460"/>
      <c r="R473" s="1460"/>
      <c r="S473" s="1460"/>
      <c r="T473" s="1460"/>
      <c r="U473" s="1460"/>
      <c r="V473" s="1461"/>
      <c r="W473" s="1429">
        <v>23</v>
      </c>
      <c r="X473" s="1430"/>
      <c r="Y473" s="1431"/>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456"/>
      <c r="H474" s="1457"/>
      <c r="I474" s="1457"/>
      <c r="J474" s="1457"/>
      <c r="K474" s="1457"/>
      <c r="L474" s="1457"/>
      <c r="M474" s="1457"/>
      <c r="N474" s="1457"/>
      <c r="O474" s="1457"/>
      <c r="P474" s="1457"/>
      <c r="Q474" s="1457"/>
      <c r="R474" s="1457"/>
      <c r="S474" s="1457"/>
      <c r="T474" s="1457"/>
      <c r="U474" s="1457"/>
      <c r="V474" s="1458"/>
      <c r="W474" s="1429">
        <v>0</v>
      </c>
      <c r="X474" s="1430"/>
      <c r="Y474" s="1431"/>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73" t="s">
        <v>820</v>
      </c>
      <c r="B480" s="1573"/>
      <c r="C480" s="1573"/>
      <c r="D480" s="1573"/>
      <c r="E480" s="1573"/>
      <c r="F480" s="1573"/>
      <c r="G480" s="1573"/>
      <c r="H480" s="1573"/>
      <c r="I480" s="1573"/>
      <c r="J480" s="1573"/>
      <c r="K480" s="1573"/>
      <c r="L480" s="1573"/>
      <c r="M480" s="1573"/>
      <c r="N480" s="1573"/>
      <c r="O480" s="1573"/>
      <c r="P480" s="1573"/>
      <c r="Q480" s="1573"/>
      <c r="R480" s="1573"/>
      <c r="S480" s="1573"/>
      <c r="T480" s="1573"/>
      <c r="U480" s="1573"/>
      <c r="V480" s="1573"/>
      <c r="W480" s="1573"/>
      <c r="X480" s="1573"/>
      <c r="Y480" s="1573"/>
      <c r="Z480" s="1573"/>
      <c r="AA480" s="1573"/>
      <c r="AB480" s="1573"/>
      <c r="AC480" s="1573"/>
      <c r="AD480" s="1573"/>
      <c r="AE480" s="1573"/>
      <c r="AF480" s="1573"/>
      <c r="AG480" s="1573"/>
      <c r="AH480" s="1573"/>
      <c r="AI480" s="1573"/>
      <c r="AJ480" s="1573"/>
      <c r="AK480" s="1573"/>
      <c r="AL480" s="1573"/>
      <c r="AM480" s="1573"/>
      <c r="AN480" s="1573"/>
      <c r="AO480" s="1573"/>
      <c r="AP480" s="1573"/>
      <c r="AQ480" s="1573"/>
      <c r="AR480" s="1573"/>
      <c r="AS480" s="1573"/>
      <c r="AT480" s="1573"/>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73"/>
      <c r="B481" s="1573"/>
      <c r="C481" s="1573"/>
      <c r="D481" s="1573"/>
      <c r="E481" s="1573"/>
      <c r="F481" s="1573"/>
      <c r="G481" s="1573"/>
      <c r="H481" s="1573"/>
      <c r="I481" s="1573"/>
      <c r="J481" s="1573"/>
      <c r="K481" s="1573"/>
      <c r="L481" s="1573"/>
      <c r="M481" s="1573"/>
      <c r="N481" s="1573"/>
      <c r="O481" s="1573"/>
      <c r="P481" s="1573"/>
      <c r="Q481" s="1573"/>
      <c r="R481" s="1573"/>
      <c r="S481" s="1573"/>
      <c r="T481" s="1573"/>
      <c r="U481" s="1573"/>
      <c r="V481" s="1573"/>
      <c r="W481" s="1573"/>
      <c r="X481" s="1573"/>
      <c r="Y481" s="1573"/>
      <c r="Z481" s="1573"/>
      <c r="AA481" s="1573"/>
      <c r="AB481" s="1573"/>
      <c r="AC481" s="1573"/>
      <c r="AD481" s="1573"/>
      <c r="AE481" s="1573"/>
      <c r="AF481" s="1573"/>
      <c r="AG481" s="1573"/>
      <c r="AH481" s="1573"/>
      <c r="AI481" s="1573"/>
      <c r="AJ481" s="1573"/>
      <c r="AK481" s="1573"/>
      <c r="AL481" s="1573"/>
      <c r="AM481" s="1573"/>
      <c r="AN481" s="1573"/>
      <c r="AO481" s="1573"/>
      <c r="AP481" s="1573"/>
      <c r="AQ481" s="1573"/>
      <c r="AR481" s="1573"/>
      <c r="AS481" s="1573"/>
      <c r="AT481" s="1573"/>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50" t="s">
        <v>394</v>
      </c>
      <c r="R485" s="1451"/>
      <c r="S485" s="1451"/>
      <c r="T485" s="1451"/>
      <c r="U485" s="1451"/>
      <c r="V485" s="1451"/>
      <c r="W485" s="1451"/>
      <c r="X485" s="1451"/>
      <c r="Y485" s="1451"/>
      <c r="Z485" s="1451"/>
      <c r="AA485" s="1451"/>
      <c r="AB485" s="1451"/>
      <c r="AC485" s="1451"/>
      <c r="AD485" s="1451"/>
      <c r="AE485" s="1451"/>
      <c r="AF485" s="1451"/>
      <c r="AG485" s="1451"/>
      <c r="AH485" s="1451"/>
      <c r="AI485" s="1451"/>
      <c r="AJ485" s="1451"/>
      <c r="AK485" s="1452"/>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463" t="s">
        <v>2732</v>
      </c>
      <c r="R486" s="1404"/>
      <c r="S486" s="1404"/>
      <c r="T486" s="1404"/>
      <c r="U486" s="1404"/>
      <c r="V486" s="1404"/>
      <c r="W486" s="1404"/>
      <c r="X486" s="1404"/>
      <c r="Y486" s="1404"/>
      <c r="Z486" s="1404"/>
      <c r="AA486" s="1404"/>
      <c r="AB486" s="1404"/>
      <c r="AC486" s="1404"/>
      <c r="AD486" s="1404"/>
      <c r="AE486" s="1404"/>
      <c r="AF486" s="1404"/>
      <c r="AG486" s="1404"/>
      <c r="AH486" s="1404"/>
      <c r="AI486" s="1404"/>
      <c r="AJ486" s="1404"/>
      <c r="AK486" s="1464"/>
      <c r="AZ486" s="3"/>
      <c r="BB486" s="3"/>
      <c r="BC486" s="3"/>
      <c r="BD486" s="3"/>
      <c r="BE486" s="3"/>
      <c r="BF486" s="3"/>
      <c r="BG486" s="3"/>
      <c r="BH486" s="3"/>
      <c r="BI486" s="3"/>
      <c r="BJ486" s="3"/>
      <c r="BK486" s="3"/>
      <c r="BL486" s="3"/>
      <c r="BM486" s="3"/>
      <c r="BN486" s="3"/>
      <c r="BO486" s="3"/>
      <c r="BP486" s="3"/>
      <c r="BQ486" s="3"/>
      <c r="BR486" s="3"/>
      <c r="BS486" s="3"/>
      <c r="BT486" s="3"/>
      <c r="BU486" s="3"/>
      <c r="BV486" s="207" t="s">
        <v>2635</v>
      </c>
      <c r="BW486" s="208"/>
      <c r="BX486" s="208"/>
      <c r="BY486" s="208"/>
      <c r="BZ486" s="208"/>
      <c r="CA486" s="208"/>
      <c r="CB486" s="208"/>
      <c r="CC486" s="3"/>
      <c r="CD486" s="207" t="s">
        <v>2636</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463" t="s">
        <v>2733</v>
      </c>
      <c r="R487" s="1404"/>
      <c r="S487" s="1404"/>
      <c r="T487" s="1404"/>
      <c r="U487" s="1404"/>
      <c r="V487" s="1404"/>
      <c r="W487" s="1404"/>
      <c r="X487" s="1404"/>
      <c r="Y487" s="1404"/>
      <c r="Z487" s="1404"/>
      <c r="AA487" s="1404"/>
      <c r="AB487" s="1404"/>
      <c r="AC487" s="1404"/>
      <c r="AD487" s="1404"/>
      <c r="AE487" s="1404"/>
      <c r="AF487" s="1404"/>
      <c r="AG487" s="1404"/>
      <c r="AH487" s="1404"/>
      <c r="AI487" s="1404"/>
      <c r="AJ487" s="1404"/>
      <c r="AK487" s="1464"/>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2233</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463" t="s">
        <v>2734</v>
      </c>
      <c r="R488" s="1404"/>
      <c r="S488" s="1404"/>
      <c r="T488" s="1404"/>
      <c r="U488" s="1404"/>
      <c r="V488" s="1404"/>
      <c r="W488" s="1404"/>
      <c r="X488" s="1404"/>
      <c r="Y488" s="1404"/>
      <c r="Z488" s="1404"/>
      <c r="AA488" s="1404"/>
      <c r="AB488" s="1404"/>
      <c r="AC488" s="1404"/>
      <c r="AD488" s="1404"/>
      <c r="AE488" s="1404"/>
      <c r="AF488" s="1404"/>
      <c r="AG488" s="1404"/>
      <c r="AH488" s="1404"/>
      <c r="AI488" s="1404"/>
      <c r="AJ488" s="1404"/>
      <c r="AK488" s="1464"/>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74" t="s">
        <v>398</v>
      </c>
      <c r="C489" s="1475"/>
      <c r="D489" s="1475"/>
      <c r="E489" s="1475"/>
      <c r="F489" s="1475"/>
      <c r="G489" s="1475"/>
      <c r="H489" s="1475"/>
      <c r="I489" s="1475"/>
      <c r="J489" s="1475"/>
      <c r="K489" s="1475"/>
      <c r="L489" s="1475"/>
      <c r="M489" s="1475"/>
      <c r="N489" s="1475"/>
      <c r="O489" s="1475"/>
      <c r="P489" s="1476"/>
      <c r="Q489" s="1480" t="s">
        <v>678</v>
      </c>
      <c r="R489" s="1481"/>
      <c r="S489" s="1465" t="s">
        <v>166</v>
      </c>
      <c r="T489" s="1466"/>
      <c r="U489" s="1466"/>
      <c r="V489" s="1466"/>
      <c r="W489" s="1466"/>
      <c r="X489" s="1466"/>
      <c r="Y489" s="1466"/>
      <c r="Z489" s="1466"/>
      <c r="AA489" s="1466"/>
      <c r="AB489" s="1466"/>
      <c r="AC489" s="1466"/>
      <c r="AD489" s="1466"/>
      <c r="AE489" s="1466"/>
      <c r="AF489" s="1466"/>
      <c r="AG489" s="1466"/>
      <c r="AH489" s="1466"/>
      <c r="AI489" s="1466"/>
      <c r="AJ489" s="1466"/>
      <c r="AK489" s="1467"/>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77"/>
      <c r="C490" s="1478"/>
      <c r="D490" s="1478"/>
      <c r="E490" s="1478"/>
      <c r="F490" s="1478"/>
      <c r="G490" s="1478"/>
      <c r="H490" s="1478"/>
      <c r="I490" s="1478"/>
      <c r="J490" s="1478"/>
      <c r="K490" s="1478"/>
      <c r="L490" s="1478"/>
      <c r="M490" s="1478"/>
      <c r="N490" s="1478"/>
      <c r="O490" s="1478"/>
      <c r="P490" s="1479"/>
      <c r="Q490" s="1482"/>
      <c r="R490" s="1483"/>
      <c r="S490" s="1468"/>
      <c r="T490" s="1469"/>
      <c r="U490" s="1469"/>
      <c r="V490" s="1469"/>
      <c r="W490" s="1469"/>
      <c r="X490" s="1469"/>
      <c r="Y490" s="1469"/>
      <c r="Z490" s="1469"/>
      <c r="AA490" s="1469"/>
      <c r="AB490" s="1469"/>
      <c r="AC490" s="1469"/>
      <c r="AD490" s="1469"/>
      <c r="AE490" s="1469"/>
      <c r="AF490" s="1469"/>
      <c r="AG490" s="1469"/>
      <c r="AH490" s="1469"/>
      <c r="AI490" s="1469"/>
      <c r="AJ490" s="1469"/>
      <c r="AK490" s="1470"/>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1785</v>
      </c>
      <c r="C491" s="907"/>
      <c r="D491" s="907"/>
      <c r="E491" s="907"/>
      <c r="F491" s="907"/>
      <c r="G491" s="907"/>
      <c r="H491" s="907"/>
      <c r="I491" s="907"/>
      <c r="J491" s="907"/>
      <c r="K491" s="907"/>
      <c r="L491" s="907"/>
      <c r="M491" s="907"/>
      <c r="N491" s="907"/>
      <c r="O491" s="907"/>
      <c r="P491" s="907"/>
      <c r="Q491" s="1487" t="s">
        <v>678</v>
      </c>
      <c r="R491" s="1488"/>
      <c r="S491" s="1488"/>
      <c r="T491" s="1488"/>
      <c r="U491" s="1488"/>
      <c r="V491" s="1488"/>
      <c r="W491" s="1488"/>
      <c r="X491" s="1488"/>
      <c r="Y491" s="1488"/>
      <c r="Z491" s="1488"/>
      <c r="AA491" s="1488"/>
      <c r="AB491" s="1488"/>
      <c r="AC491" s="1488"/>
      <c r="AD491" s="1488"/>
      <c r="AE491" s="1488"/>
      <c r="AF491" s="1488"/>
      <c r="AG491" s="1488"/>
      <c r="AH491" s="1488"/>
      <c r="AI491" s="1488"/>
      <c r="AJ491" s="1488"/>
      <c r="AK491" s="1489"/>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463" t="s">
        <v>2735</v>
      </c>
      <c r="R492" s="1404"/>
      <c r="S492" s="1404"/>
      <c r="T492" s="1404"/>
      <c r="U492" s="1404"/>
      <c r="V492" s="1404"/>
      <c r="W492" s="1404"/>
      <c r="X492" s="1404"/>
      <c r="Y492" s="1404"/>
      <c r="Z492" s="1404"/>
      <c r="AA492" s="1404"/>
      <c r="AB492" s="1404"/>
      <c r="AC492" s="1404"/>
      <c r="AD492" s="1404"/>
      <c r="AE492" s="1404"/>
      <c r="AF492" s="1404"/>
      <c r="AG492" s="1404"/>
      <c r="AH492" s="1404"/>
      <c r="AI492" s="1404"/>
      <c r="AJ492" s="1404"/>
      <c r="AK492" s="1464"/>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463">
        <v>0</v>
      </c>
      <c r="R493" s="1404"/>
      <c r="S493" s="1404"/>
      <c r="T493" s="1404"/>
      <c r="U493" s="1404"/>
      <c r="V493" s="1404"/>
      <c r="W493" s="1404"/>
      <c r="X493" s="1404"/>
      <c r="Y493" s="1404"/>
      <c r="Z493" s="1404"/>
      <c r="AA493" s="1404"/>
      <c r="AB493" s="1404"/>
      <c r="AC493" s="1404"/>
      <c r="AD493" s="1404"/>
      <c r="AE493" s="1404"/>
      <c r="AF493" s="1404"/>
      <c r="AG493" s="1404"/>
      <c r="AH493" s="1404"/>
      <c r="AI493" s="1404"/>
      <c r="AJ493" s="1404"/>
      <c r="AK493" s="1464"/>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1782</v>
      </c>
      <c r="C494" s="5"/>
      <c r="D494" s="5"/>
      <c r="E494" s="5"/>
      <c r="F494" s="5"/>
      <c r="G494" s="5"/>
      <c r="H494" s="5"/>
      <c r="I494" s="5"/>
      <c r="J494" s="5"/>
      <c r="K494" s="5"/>
      <c r="L494" s="5"/>
      <c r="M494" s="5"/>
      <c r="N494" s="5"/>
      <c r="O494" s="5"/>
      <c r="P494" s="5"/>
      <c r="Q494" s="1463">
        <v>216</v>
      </c>
      <c r="R494" s="1404"/>
      <c r="S494" s="1404"/>
      <c r="T494" s="1404"/>
      <c r="U494" s="1404"/>
      <c r="V494" s="1404"/>
      <c r="W494" s="1404"/>
      <c r="X494" s="1404"/>
      <c r="Y494" s="1404"/>
      <c r="Z494" s="1404"/>
      <c r="AA494" s="1404"/>
      <c r="AB494" s="1404"/>
      <c r="AC494" s="1404"/>
      <c r="AD494" s="1404"/>
      <c r="AE494" s="1404"/>
      <c r="AF494" s="1404"/>
      <c r="AG494" s="1404"/>
      <c r="AH494" s="1404"/>
      <c r="AI494" s="1404"/>
      <c r="AJ494" s="1404"/>
      <c r="AK494" s="1464"/>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1783</v>
      </c>
      <c r="C495" s="5"/>
      <c r="D495" s="5"/>
      <c r="E495" s="5"/>
      <c r="F495" s="5"/>
      <c r="G495" s="5"/>
      <c r="H495" s="5"/>
      <c r="I495" s="5"/>
      <c r="J495" s="5"/>
      <c r="K495" s="5"/>
      <c r="L495" s="5"/>
      <c r="M495" s="1484">
        <v>123</v>
      </c>
      <c r="N495" s="1485"/>
      <c r="O495" s="1485"/>
      <c r="P495" s="1486"/>
      <c r="Q495" s="121" t="s">
        <v>1784</v>
      </c>
      <c r="R495" s="5"/>
      <c r="S495" s="5"/>
      <c r="T495" s="5"/>
      <c r="U495" s="5"/>
      <c r="V495" s="5"/>
      <c r="W495" s="5"/>
      <c r="X495" s="5"/>
      <c r="Y495" s="5"/>
      <c r="Z495" s="5"/>
      <c r="AA495" s="5"/>
      <c r="AB495" s="5"/>
      <c r="AC495" s="5"/>
      <c r="AD495" s="5"/>
      <c r="AE495" s="5"/>
      <c r="AF495" s="5"/>
      <c r="AG495" s="5"/>
      <c r="AH495" s="1484">
        <v>93</v>
      </c>
      <c r="AI495" s="1485"/>
      <c r="AJ495" s="1485"/>
      <c r="AK495" s="1486"/>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0" t="s">
        <v>402</v>
      </c>
      <c r="AD499" s="1451"/>
      <c r="AE499" s="1451"/>
      <c r="AF499" s="1451"/>
      <c r="AG499" s="1451"/>
      <c r="AH499" s="1451"/>
      <c r="AI499" s="1451"/>
      <c r="AJ499" s="1451"/>
      <c r="AK499" s="1452"/>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0" t="s">
        <v>403</v>
      </c>
      <c r="AD500" s="1451"/>
      <c r="AE500" s="1451"/>
      <c r="AF500" s="1451"/>
      <c r="AG500" s="50" t="s">
        <v>404</v>
      </c>
      <c r="AH500" s="1451" t="s">
        <v>405</v>
      </c>
      <c r="AI500" s="1451"/>
      <c r="AJ500" s="1451"/>
      <c r="AK500" s="1452"/>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17" t="s">
        <v>406</v>
      </c>
      <c r="C501" s="1418"/>
      <c r="D501" s="1418"/>
      <c r="E501" s="1418"/>
      <c r="F501" s="1418"/>
      <c r="G501" s="1418"/>
      <c r="H501" s="1419"/>
      <c r="I501" s="42" t="s">
        <v>407</v>
      </c>
      <c r="J501" s="42"/>
      <c r="K501" s="42"/>
      <c r="L501" s="42"/>
      <c r="M501" s="42"/>
      <c r="N501" s="42"/>
      <c r="O501" s="42"/>
      <c r="P501" s="42"/>
      <c r="Q501" s="42"/>
      <c r="R501" s="42"/>
      <c r="S501" s="42"/>
      <c r="T501" s="42"/>
      <c r="U501" s="42"/>
      <c r="V501" s="42"/>
      <c r="W501" s="42"/>
      <c r="AC501" s="1442">
        <v>5</v>
      </c>
      <c r="AD501" s="1443"/>
      <c r="AE501" s="1443"/>
      <c r="AF501" s="1443"/>
      <c r="AG501" s="13" t="s">
        <v>404</v>
      </c>
      <c r="AH501" s="1434">
        <v>2023</v>
      </c>
      <c r="AI501" s="1434"/>
      <c r="AJ501" s="1434"/>
      <c r="AK501" s="1435"/>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20"/>
      <c r="C502" s="1421"/>
      <c r="D502" s="1421"/>
      <c r="E502" s="1421"/>
      <c r="F502" s="1421"/>
      <c r="G502" s="1421"/>
      <c r="H502" s="1422"/>
      <c r="I502" s="48" t="s">
        <v>408</v>
      </c>
      <c r="J502" s="48"/>
      <c r="K502" s="48"/>
      <c r="L502" s="48"/>
      <c r="M502" s="48"/>
      <c r="N502" s="48"/>
      <c r="O502" s="48"/>
      <c r="P502" s="48"/>
      <c r="Q502" s="48"/>
      <c r="R502" s="48"/>
      <c r="S502" s="48"/>
      <c r="T502" s="48"/>
      <c r="U502" s="48"/>
      <c r="V502" s="48"/>
      <c r="W502" s="48"/>
      <c r="X502" s="48"/>
      <c r="Y502" s="48"/>
      <c r="Z502" s="48"/>
      <c r="AA502" s="48"/>
      <c r="AB502" s="48"/>
      <c r="AC502" s="1442">
        <v>2</v>
      </c>
      <c r="AD502" s="1443"/>
      <c r="AE502" s="1443"/>
      <c r="AF502" s="1443"/>
      <c r="AG502" s="38" t="s">
        <v>404</v>
      </c>
      <c r="AH502" s="1434">
        <v>2023</v>
      </c>
      <c r="AI502" s="1434"/>
      <c r="AJ502" s="1434"/>
      <c r="AK502" s="1435"/>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17" t="s">
        <v>409</v>
      </c>
      <c r="C503" s="1418"/>
      <c r="D503" s="1418"/>
      <c r="E503" s="1418"/>
      <c r="F503" s="1418"/>
      <c r="G503" s="1418"/>
      <c r="H503" s="1419"/>
      <c r="I503" s="42" t="s">
        <v>410</v>
      </c>
      <c r="J503" s="42"/>
      <c r="K503" s="42"/>
      <c r="L503" s="42"/>
      <c r="M503" s="42"/>
      <c r="N503" s="42"/>
      <c r="O503" s="42"/>
      <c r="P503" s="42"/>
      <c r="Q503" s="42"/>
      <c r="R503" s="42"/>
      <c r="S503" s="42"/>
      <c r="T503" s="42"/>
      <c r="U503" s="42"/>
      <c r="V503" s="42"/>
      <c r="W503" s="42"/>
      <c r="AC503" s="1442" t="s">
        <v>600</v>
      </c>
      <c r="AD503" s="1443"/>
      <c r="AE503" s="1443"/>
      <c r="AF503" s="1443"/>
      <c r="AG503" s="13" t="s">
        <v>404</v>
      </c>
      <c r="AH503" s="1434"/>
      <c r="AI503" s="1434"/>
      <c r="AJ503" s="1434"/>
      <c r="AK503" s="1435"/>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20"/>
      <c r="C504" s="1421"/>
      <c r="D504" s="1421"/>
      <c r="E504" s="1421"/>
      <c r="F504" s="1421"/>
      <c r="G504" s="1421"/>
      <c r="H504" s="1422"/>
      <c r="I504" t="s">
        <v>411</v>
      </c>
      <c r="AC504" s="1442" t="s">
        <v>600</v>
      </c>
      <c r="AD504" s="1443"/>
      <c r="AE504" s="1443"/>
      <c r="AF504" s="1443"/>
      <c r="AG504" s="13" t="s">
        <v>404</v>
      </c>
      <c r="AH504" s="1434"/>
      <c r="AI504" s="1434"/>
      <c r="AJ504" s="1434"/>
      <c r="AK504" s="1435"/>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20"/>
      <c r="C505" s="1421"/>
      <c r="D505" s="1421"/>
      <c r="E505" s="1421"/>
      <c r="F505" s="1421"/>
      <c r="G505" s="1421"/>
      <c r="H505" s="1422"/>
      <c r="I505" t="s">
        <v>412</v>
      </c>
      <c r="AC505" s="1442">
        <v>9</v>
      </c>
      <c r="AD505" s="1443"/>
      <c r="AE505" s="1443"/>
      <c r="AF505" s="1443"/>
      <c r="AG505" s="13" t="s">
        <v>404</v>
      </c>
      <c r="AH505" s="1434">
        <v>2023</v>
      </c>
      <c r="AI505" s="1434"/>
      <c r="AJ505" s="1434"/>
      <c r="AK505" s="1435"/>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20"/>
      <c r="C506" s="1421"/>
      <c r="D506" s="1421"/>
      <c r="E506" s="1421"/>
      <c r="F506" s="1421"/>
      <c r="G506" s="1421"/>
      <c r="H506" s="1422"/>
      <c r="I506" t="s">
        <v>413</v>
      </c>
      <c r="AC506" s="1442">
        <v>6</v>
      </c>
      <c r="AD506" s="1443"/>
      <c r="AE506" s="1443"/>
      <c r="AF506" s="1443"/>
      <c r="AG506" s="13" t="s">
        <v>404</v>
      </c>
      <c r="AH506" s="1434">
        <v>2025</v>
      </c>
      <c r="AI506" s="1434"/>
      <c r="AJ506" s="1434"/>
      <c r="AK506" s="1435"/>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20"/>
      <c r="C507" s="1421"/>
      <c r="D507" s="1421"/>
      <c r="E507" s="1421"/>
      <c r="F507" s="1421"/>
      <c r="G507" s="1421"/>
      <c r="H507" s="1422"/>
      <c r="I507" s="3" t="s">
        <v>414</v>
      </c>
      <c r="AC507" s="1361">
        <v>6</v>
      </c>
      <c r="AD507" s="1362"/>
      <c r="AE507" s="1362"/>
      <c r="AF507" s="1362"/>
      <c r="AG507" s="13" t="s">
        <v>404</v>
      </c>
      <c r="AH507" s="1434">
        <v>2025</v>
      </c>
      <c r="AI507" s="1434"/>
      <c r="AJ507" s="1434"/>
      <c r="AK507" s="1435"/>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20"/>
      <c r="C508" s="1421"/>
      <c r="D508" s="1421"/>
      <c r="E508" s="1421"/>
      <c r="F508" s="1421"/>
      <c r="G508" s="1421"/>
      <c r="H508" s="1422"/>
      <c r="I508" s="931" t="s">
        <v>170</v>
      </c>
      <c r="J508" s="48"/>
      <c r="K508" s="48"/>
      <c r="L508" s="1432" t="s">
        <v>335</v>
      </c>
      <c r="M508" s="1433"/>
      <c r="N508" s="1433"/>
      <c r="O508" s="1433"/>
      <c r="P508" s="1433"/>
      <c r="Q508" s="1433"/>
      <c r="R508" s="1433"/>
      <c r="S508" s="1433"/>
      <c r="T508" s="1433"/>
      <c r="U508" s="1433"/>
      <c r="V508" s="1433"/>
      <c r="W508" s="1433"/>
      <c r="X508" s="1433"/>
      <c r="Y508" s="1433"/>
      <c r="Z508" s="1433"/>
      <c r="AA508" s="1433"/>
      <c r="AB508" s="1547"/>
      <c r="AC508" s="1442" t="s">
        <v>600</v>
      </c>
      <c r="AD508" s="1443"/>
      <c r="AE508" s="1443"/>
      <c r="AF508" s="1443"/>
      <c r="AG508" s="38" t="s">
        <v>404</v>
      </c>
      <c r="AH508" s="1434"/>
      <c r="AI508" s="1434"/>
      <c r="AJ508" s="1434"/>
      <c r="AK508" s="1435"/>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1789</v>
      </c>
      <c r="AC509" s="1471" t="s">
        <v>678</v>
      </c>
      <c r="AD509" s="1471"/>
      <c r="AE509" s="1471"/>
      <c r="AF509" s="1471"/>
      <c r="AG509" s="13"/>
      <c r="AH509" s="1311"/>
      <c r="AI509" s="1311"/>
      <c r="AJ509" s="1311"/>
      <c r="AK509" s="1453"/>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1786</v>
      </c>
      <c r="AC510" s="1361"/>
      <c r="AD510" s="1362"/>
      <c r="AE510" s="1362"/>
      <c r="AF510" s="1363"/>
      <c r="AG510" s="13"/>
      <c r="AH510" s="1311"/>
      <c r="AI510" s="1311"/>
      <c r="AJ510" s="1311"/>
      <c r="AK510" s="1453"/>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1787</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1788</v>
      </c>
      <c r="J512" s="48"/>
      <c r="K512" s="48"/>
      <c r="L512" s="48"/>
      <c r="M512" s="48"/>
      <c r="N512" s="48"/>
      <c r="O512" s="48"/>
      <c r="P512" s="48"/>
      <c r="Q512" s="48"/>
      <c r="R512" s="48"/>
      <c r="S512" s="48"/>
      <c r="T512" s="48"/>
      <c r="U512" s="48"/>
      <c r="V512" s="48"/>
      <c r="W512" s="48"/>
      <c r="X512" s="48"/>
      <c r="Y512" s="48"/>
      <c r="Z512" s="48"/>
      <c r="AA512" s="48"/>
      <c r="AB512" s="48"/>
      <c r="AC512" s="1525"/>
      <c r="AD512" s="1526"/>
      <c r="AE512" s="1526"/>
      <c r="AF512" s="1527"/>
      <c r="AG512" s="38"/>
      <c r="AH512" s="1528"/>
      <c r="AI512" s="1528"/>
      <c r="AJ512" s="1528"/>
      <c r="AK512" s="1529"/>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454" t="s">
        <v>403</v>
      </c>
      <c r="AD513" s="1455"/>
      <c r="AE513" s="1455"/>
      <c r="AF513" s="1455"/>
      <c r="AG513" s="38" t="s">
        <v>404</v>
      </c>
      <c r="AH513" s="1455" t="s">
        <v>405</v>
      </c>
      <c r="AI513" s="1455"/>
      <c r="AJ513" s="1455"/>
      <c r="AK513" s="1462"/>
      <c r="AZ513" s="3"/>
      <c r="BA513" s="3"/>
      <c r="BB513" s="3"/>
      <c r="BC513" s="3"/>
      <c r="BD513" s="3"/>
      <c r="BE513" s="3"/>
      <c r="BF513" s="3"/>
      <c r="BG513" s="3"/>
      <c r="BH513" s="3"/>
      <c r="BI513" s="3"/>
      <c r="BJ513" s="3"/>
      <c r="BK513" s="3"/>
      <c r="BL513" s="3"/>
      <c r="BM513" s="3"/>
      <c r="BN513" s="3" t="s">
        <v>2424</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17" t="s">
        <v>415</v>
      </c>
      <c r="C514" s="1418"/>
      <c r="D514" s="1418"/>
      <c r="E514" s="1418"/>
      <c r="F514" s="1418"/>
      <c r="G514" s="1418"/>
      <c r="H514" s="1419"/>
      <c r="I514" s="42" t="s">
        <v>416</v>
      </c>
      <c r="J514" s="42"/>
      <c r="K514" s="42"/>
      <c r="L514" s="42"/>
      <c r="M514" s="42"/>
      <c r="N514" s="42"/>
      <c r="O514" s="42"/>
      <c r="P514" s="42"/>
      <c r="Q514" s="42"/>
      <c r="R514" s="42"/>
      <c r="S514" s="42"/>
      <c r="T514" s="42"/>
      <c r="U514" s="42"/>
      <c r="V514" s="42"/>
      <c r="W514" s="42"/>
      <c r="AC514" s="1442">
        <v>12</v>
      </c>
      <c r="AD514" s="1443"/>
      <c r="AE514" s="1443"/>
      <c r="AF514" s="1443"/>
      <c r="AG514" s="13" t="s">
        <v>404</v>
      </c>
      <c r="AH514" s="1434">
        <v>2024</v>
      </c>
      <c r="AI514" s="1434"/>
      <c r="AJ514" s="1434"/>
      <c r="AK514" s="1435"/>
      <c r="AZ514" s="3"/>
      <c r="BA514" s="3"/>
      <c r="BB514" s="3"/>
      <c r="BC514" s="3"/>
      <c r="BD514" s="3"/>
      <c r="BE514" s="3"/>
      <c r="BF514" s="3"/>
      <c r="BG514" s="3"/>
      <c r="BH514" s="3"/>
      <c r="BI514" s="3"/>
      <c r="BJ514" s="3"/>
      <c r="BK514" s="3"/>
      <c r="BL514" s="3"/>
      <c r="BM514" s="3"/>
      <c r="BN514" s="3" t="s">
        <v>2425</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20"/>
      <c r="C515" s="1421"/>
      <c r="D515" s="1421"/>
      <c r="E515" s="1421"/>
      <c r="F515" s="1421"/>
      <c r="G515" s="1421"/>
      <c r="H515" s="1422"/>
      <c r="I515" t="s">
        <v>417</v>
      </c>
      <c r="AC515" s="1442">
        <v>12</v>
      </c>
      <c r="AD515" s="1443"/>
      <c r="AE515" s="1443"/>
      <c r="AF515" s="1443"/>
      <c r="AG515" s="13" t="s">
        <v>404</v>
      </c>
      <c r="AH515" s="1434">
        <v>2024</v>
      </c>
      <c r="AI515" s="1434"/>
      <c r="AJ515" s="1434"/>
      <c r="AK515" s="1435"/>
      <c r="AZ515" s="3"/>
      <c r="BA515" s="3"/>
      <c r="BB515" s="3"/>
      <c r="BC515" s="3"/>
      <c r="BD515" s="3"/>
      <c r="BE515" s="3"/>
      <c r="BF515" s="3"/>
      <c r="BG515" s="3"/>
      <c r="BH515" s="3"/>
      <c r="BI515" s="3"/>
      <c r="BJ515" s="3"/>
      <c r="BK515" s="3"/>
      <c r="BL515" s="3"/>
      <c r="BM515" s="3"/>
      <c r="BN515" s="3" t="s">
        <v>2426</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20"/>
      <c r="C516" s="1421"/>
      <c r="D516" s="1421"/>
      <c r="E516" s="1421"/>
      <c r="F516" s="1421"/>
      <c r="G516" s="1421"/>
      <c r="H516" s="1422"/>
      <c r="I516" s="48" t="s">
        <v>418</v>
      </c>
      <c r="J516" s="48"/>
      <c r="K516" s="48"/>
      <c r="L516" s="48"/>
      <c r="M516" s="48"/>
      <c r="N516" s="48"/>
      <c r="O516" s="48"/>
      <c r="P516" s="48"/>
      <c r="Q516" s="48"/>
      <c r="R516" s="48"/>
      <c r="S516" s="48"/>
      <c r="T516" s="48"/>
      <c r="U516" s="48"/>
      <c r="V516" s="48"/>
      <c r="W516" s="48"/>
      <c r="X516" s="48"/>
      <c r="Y516" s="48"/>
      <c r="Z516" s="48"/>
      <c r="AA516" s="48"/>
      <c r="AB516" s="48"/>
      <c r="AC516" s="1442">
        <v>6</v>
      </c>
      <c r="AD516" s="1443"/>
      <c r="AE516" s="1443"/>
      <c r="AF516" s="1443"/>
      <c r="AG516" s="38" t="s">
        <v>404</v>
      </c>
      <c r="AH516" s="1434">
        <v>2025</v>
      </c>
      <c r="AI516" s="1434"/>
      <c r="AJ516" s="1434"/>
      <c r="AK516" s="1435"/>
      <c r="AZ516" s="3"/>
      <c r="BA516" s="3"/>
      <c r="BB516" s="3"/>
      <c r="BC516" s="3"/>
      <c r="BD516" s="3"/>
      <c r="BE516" s="3"/>
      <c r="BF516" s="3"/>
      <c r="BG516" s="3"/>
      <c r="BH516" s="3"/>
      <c r="BI516" s="3"/>
      <c r="BJ516" s="3"/>
      <c r="BK516" s="3"/>
      <c r="BL516" s="3"/>
      <c r="BM516" s="3"/>
      <c r="BN516" s="3" t="s">
        <v>2427</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17" t="s">
        <v>419</v>
      </c>
      <c r="C517" s="1418"/>
      <c r="D517" s="1418"/>
      <c r="E517" s="1418"/>
      <c r="F517" s="1418"/>
      <c r="G517" s="1418"/>
      <c r="H517" s="1419"/>
      <c r="I517" s="42" t="s">
        <v>416</v>
      </c>
      <c r="J517" s="42"/>
      <c r="K517" s="42"/>
      <c r="L517" s="42"/>
      <c r="M517" s="42"/>
      <c r="N517" s="42"/>
      <c r="O517" s="42"/>
      <c r="P517" s="42"/>
      <c r="Q517" s="42"/>
      <c r="R517" s="42"/>
      <c r="S517" s="42"/>
      <c r="T517" s="42"/>
      <c r="U517" s="42"/>
      <c r="V517" s="42"/>
      <c r="W517" s="42"/>
      <c r="X517" s="42"/>
      <c r="Y517" s="42"/>
      <c r="Z517" s="42"/>
      <c r="AA517" s="42"/>
      <c r="AB517" s="42"/>
      <c r="AC517" s="1361">
        <v>12</v>
      </c>
      <c r="AD517" s="1362"/>
      <c r="AE517" s="1362"/>
      <c r="AF517" s="1362"/>
      <c r="AG517" s="129" t="s">
        <v>404</v>
      </c>
      <c r="AH517" s="1434">
        <v>2024</v>
      </c>
      <c r="AI517" s="1434"/>
      <c r="AJ517" s="1434"/>
      <c r="AK517" s="1435"/>
      <c r="AZ517" s="3"/>
      <c r="BB517" s="3"/>
      <c r="BC517" s="3"/>
      <c r="BD517" s="3"/>
      <c r="BE517" s="3"/>
      <c r="BF517" s="3"/>
      <c r="BG517" s="3"/>
      <c r="BH517" s="3"/>
      <c r="BI517" s="3"/>
      <c r="BJ517" s="3"/>
      <c r="BK517" s="3"/>
      <c r="BL517" s="3"/>
      <c r="BM517" s="3"/>
      <c r="BN517" s="3" t="s">
        <v>2428</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20"/>
      <c r="C518" s="1421"/>
      <c r="D518" s="1421"/>
      <c r="E518" s="1421"/>
      <c r="F518" s="1421"/>
      <c r="G518" s="1421"/>
      <c r="H518" s="1422"/>
      <c r="I518" t="s">
        <v>417</v>
      </c>
      <c r="AC518" s="1442">
        <v>12</v>
      </c>
      <c r="AD518" s="1443"/>
      <c r="AE518" s="1443"/>
      <c r="AF518" s="1443"/>
      <c r="AG518" s="13" t="s">
        <v>404</v>
      </c>
      <c r="AH518" s="1434">
        <v>2024</v>
      </c>
      <c r="AI518" s="1434"/>
      <c r="AJ518" s="1434"/>
      <c r="AK518" s="1435"/>
      <c r="BB518" s="3"/>
      <c r="BC518" s="3"/>
      <c r="BD518" s="3"/>
      <c r="BE518" s="3"/>
      <c r="BF518" s="3"/>
      <c r="BG518" s="3"/>
      <c r="BH518" s="3"/>
      <c r="BI518" s="3"/>
      <c r="BJ518" s="3"/>
      <c r="BK518" s="3"/>
      <c r="BL518" s="3"/>
      <c r="BM518" s="3"/>
      <c r="BN518" s="3" t="s">
        <v>2429</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23"/>
      <c r="C519" s="1424"/>
      <c r="D519" s="1424"/>
      <c r="E519" s="1424"/>
      <c r="F519" s="1424"/>
      <c r="G519" s="1424"/>
      <c r="H519" s="1425"/>
      <c r="I519" s="48" t="s">
        <v>418</v>
      </c>
      <c r="J519" s="48"/>
      <c r="K519" s="48"/>
      <c r="L519" s="48"/>
      <c r="M519" s="48"/>
      <c r="N519" s="48"/>
      <c r="O519" s="48"/>
      <c r="P519" s="48"/>
      <c r="Q519" s="48"/>
      <c r="R519" s="48"/>
      <c r="S519" s="48"/>
      <c r="T519" s="48"/>
      <c r="U519" s="48"/>
      <c r="V519" s="48"/>
      <c r="W519" s="48"/>
      <c r="X519" s="48"/>
      <c r="Y519" s="48"/>
      <c r="Z519" s="48"/>
      <c r="AA519" s="48"/>
      <c r="AB519" s="48"/>
      <c r="AC519" s="1442">
        <v>6</v>
      </c>
      <c r="AD519" s="1443"/>
      <c r="AE519" s="1443"/>
      <c r="AF519" s="1443"/>
      <c r="AG519" s="38" t="s">
        <v>404</v>
      </c>
      <c r="AH519" s="1434">
        <v>2025</v>
      </c>
      <c r="AI519" s="1434"/>
      <c r="AJ519" s="1434"/>
      <c r="AK519" s="1435"/>
      <c r="BB519" s="3"/>
      <c r="BC519" s="3"/>
      <c r="BD519" s="3"/>
      <c r="BE519" s="3"/>
      <c r="BF519" s="3"/>
      <c r="BG519" s="3"/>
      <c r="BH519" s="3"/>
      <c r="BI519" s="3"/>
      <c r="BJ519" s="3"/>
      <c r="BK519" s="3"/>
      <c r="BL519" s="3"/>
      <c r="BM519" s="3"/>
      <c r="BN519" s="3" t="s">
        <v>2430</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17" t="s">
        <v>420</v>
      </c>
      <c r="C520" s="1418"/>
      <c r="D520" s="1418"/>
      <c r="E520" s="1418"/>
      <c r="F520" s="1418"/>
      <c r="G520" s="1418"/>
      <c r="H520" s="1419"/>
      <c r="I520" s="41" t="s">
        <v>421</v>
      </c>
      <c r="J520" s="42"/>
      <c r="K520" s="42"/>
      <c r="L520" s="42"/>
      <c r="M520" s="42"/>
      <c r="N520" s="42"/>
      <c r="O520" s="1432" t="s">
        <v>2759</v>
      </c>
      <c r="P520" s="1433"/>
      <c r="Q520" s="1433"/>
      <c r="R520" s="1433"/>
      <c r="S520" s="1433"/>
      <c r="T520" s="1433"/>
      <c r="U520" s="1433"/>
      <c r="V520" s="1433"/>
      <c r="W520" s="1433"/>
      <c r="X520" s="1433"/>
      <c r="Y520" s="1433"/>
      <c r="Z520" s="1433"/>
      <c r="AA520" s="1433"/>
      <c r="AB520" s="58"/>
      <c r="AC520" s="1361" t="s">
        <v>600</v>
      </c>
      <c r="AD520" s="1362"/>
      <c r="AE520" s="1362"/>
      <c r="AF520" s="1362"/>
      <c r="AG520" s="129" t="s">
        <v>404</v>
      </c>
      <c r="AH520" s="1434"/>
      <c r="AI520" s="1434"/>
      <c r="AJ520" s="1434"/>
      <c r="AK520" s="1435"/>
      <c r="AZ520" s="3"/>
      <c r="BB520" s="3"/>
      <c r="BC520" s="3"/>
      <c r="BD520" s="3"/>
      <c r="BE520" s="3"/>
      <c r="BF520" s="3"/>
      <c r="BG520" s="3"/>
      <c r="BH520" s="3"/>
      <c r="BI520" s="3"/>
      <c r="BJ520" s="3"/>
      <c r="BK520" s="3"/>
      <c r="BL520" s="3"/>
      <c r="BM520" s="3"/>
      <c r="BN520" s="3" t="s">
        <v>2431</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20"/>
      <c r="C521" s="1421"/>
      <c r="D521" s="1421"/>
      <c r="E521" s="1421"/>
      <c r="F521" s="1421"/>
      <c r="G521" s="1421"/>
      <c r="H521" s="1422"/>
      <c r="I521" s="114" t="s">
        <v>422</v>
      </c>
      <c r="AB521" s="65"/>
      <c r="AC521" s="1442" t="s">
        <v>600</v>
      </c>
      <c r="AD521" s="1443"/>
      <c r="AE521" s="1443"/>
      <c r="AF521" s="1443"/>
      <c r="AG521" s="13" t="s">
        <v>404</v>
      </c>
      <c r="AH521" s="1434"/>
      <c r="AI521" s="1434"/>
      <c r="AJ521" s="1434"/>
      <c r="AK521" s="1435"/>
      <c r="AZ521" s="3"/>
      <c r="BB521" s="3"/>
      <c r="BC521" s="3"/>
      <c r="BD521" s="3"/>
      <c r="BE521" s="3"/>
      <c r="BF521" s="3"/>
      <c r="BG521" s="3"/>
      <c r="BH521" s="3"/>
      <c r="BI521" s="3"/>
      <c r="BJ521" s="3"/>
      <c r="BK521" s="3"/>
      <c r="BL521" s="3"/>
      <c r="BM521" s="3"/>
      <c r="BN521" s="3" t="s">
        <v>2432</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20"/>
      <c r="C522" s="1421"/>
      <c r="D522" s="1421"/>
      <c r="E522" s="1421"/>
      <c r="F522" s="1421"/>
      <c r="G522" s="1421"/>
      <c r="H522" s="1422"/>
      <c r="I522" s="47" t="s">
        <v>423</v>
      </c>
      <c r="J522" s="48"/>
      <c r="K522" s="48"/>
      <c r="L522" s="48"/>
      <c r="M522" s="48"/>
      <c r="N522" s="48"/>
      <c r="O522" s="48"/>
      <c r="P522" s="48"/>
      <c r="Q522" s="48"/>
      <c r="R522" s="48"/>
      <c r="S522" s="48"/>
      <c r="T522" s="48"/>
      <c r="U522" s="48"/>
      <c r="V522" s="48"/>
      <c r="W522" s="48"/>
      <c r="X522" s="48"/>
      <c r="Y522" s="48"/>
      <c r="Z522" s="48"/>
      <c r="AA522" s="48"/>
      <c r="AB522" s="49"/>
      <c r="AC522" s="1442">
        <v>6</v>
      </c>
      <c r="AD522" s="1443"/>
      <c r="AE522" s="1443"/>
      <c r="AF522" s="1443"/>
      <c r="AG522" s="38" t="s">
        <v>404</v>
      </c>
      <c r="AH522" s="1434">
        <v>2025</v>
      </c>
      <c r="AI522" s="1434"/>
      <c r="AJ522" s="1434"/>
      <c r="AK522" s="1435"/>
      <c r="AZ522" s="3"/>
      <c r="BA522" s="3"/>
      <c r="BB522" s="3"/>
      <c r="BC522" s="3"/>
      <c r="BD522" s="3"/>
      <c r="BE522" s="3"/>
      <c r="BF522" s="3"/>
      <c r="BG522" s="3"/>
      <c r="BH522" s="3"/>
      <c r="BI522" s="3"/>
      <c r="BJ522" s="3"/>
      <c r="BK522" s="3"/>
      <c r="BL522" s="3"/>
      <c r="BM522" s="3"/>
      <c r="BN522" s="3" t="s">
        <v>2433</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20"/>
      <c r="C523" s="1421"/>
      <c r="D523" s="1421"/>
      <c r="E523" s="1421"/>
      <c r="F523" s="1421"/>
      <c r="G523" s="1421"/>
      <c r="H523" s="1422"/>
      <c r="I523" s="42" t="s">
        <v>424</v>
      </c>
      <c r="J523" s="42"/>
      <c r="K523" s="42"/>
      <c r="L523" s="42"/>
      <c r="M523" s="42"/>
      <c r="N523" s="42"/>
      <c r="O523" s="1432" t="s">
        <v>2784</v>
      </c>
      <c r="P523" s="1433"/>
      <c r="Q523" s="1433"/>
      <c r="R523" s="1433"/>
      <c r="S523" s="1433"/>
      <c r="T523" s="1433"/>
      <c r="U523" s="1433"/>
      <c r="V523" s="1433"/>
      <c r="W523" s="1433"/>
      <c r="X523" s="1433"/>
      <c r="Y523" s="1433"/>
      <c r="Z523" s="1433"/>
      <c r="AA523" s="1433"/>
      <c r="AC523" s="1442" t="s">
        <v>600</v>
      </c>
      <c r="AD523" s="1443"/>
      <c r="AE523" s="1443"/>
      <c r="AF523" s="1443"/>
      <c r="AG523" s="13" t="s">
        <v>404</v>
      </c>
      <c r="AH523" s="1434"/>
      <c r="AI523" s="1434"/>
      <c r="AJ523" s="1434"/>
      <c r="AK523" s="1435"/>
      <c r="AZ523" s="3"/>
      <c r="BA523" s="3"/>
      <c r="BB523" s="3"/>
      <c r="BC523" s="3"/>
      <c r="BD523" s="3"/>
      <c r="BE523" s="3"/>
      <c r="BF523" s="3"/>
      <c r="BG523" s="3"/>
      <c r="BH523" s="3"/>
      <c r="BI523" s="3"/>
      <c r="BJ523" s="3"/>
      <c r="BK523" s="3"/>
      <c r="BL523" s="3"/>
      <c r="BM523" s="3"/>
      <c r="BN523" s="3" t="s">
        <v>2434</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20"/>
      <c r="C524" s="1421"/>
      <c r="D524" s="1421"/>
      <c r="E524" s="1421"/>
      <c r="F524" s="1421"/>
      <c r="G524" s="1421"/>
      <c r="H524" s="1422"/>
      <c r="I524" t="s">
        <v>422</v>
      </c>
      <c r="AC524" s="1442" t="s">
        <v>600</v>
      </c>
      <c r="AD524" s="1443"/>
      <c r="AE524" s="1443"/>
      <c r="AF524" s="1443"/>
      <c r="AG524" s="13" t="s">
        <v>404</v>
      </c>
      <c r="AH524" s="1434"/>
      <c r="AI524" s="1434"/>
      <c r="AJ524" s="1434"/>
      <c r="AK524" s="1435"/>
      <c r="AZ524" s="3"/>
      <c r="BA524" s="3"/>
      <c r="BB524" s="3"/>
      <c r="BC524" s="3"/>
      <c r="BD524" s="3"/>
      <c r="BE524" s="3"/>
      <c r="BF524" s="3"/>
      <c r="BG524" s="3"/>
      <c r="BH524" s="3"/>
      <c r="BI524" s="3"/>
      <c r="BJ524" s="3"/>
      <c r="BK524" s="3"/>
      <c r="BL524" s="3"/>
      <c r="BM524" s="3"/>
      <c r="BN524" s="3" t="s">
        <v>2435</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20"/>
      <c r="C525" s="1421"/>
      <c r="D525" s="1421"/>
      <c r="E525" s="1421"/>
      <c r="F525" s="1421"/>
      <c r="G525" s="1421"/>
      <c r="H525" s="1422"/>
      <c r="I525" s="48" t="s">
        <v>423</v>
      </c>
      <c r="J525" s="48"/>
      <c r="K525" s="48"/>
      <c r="L525" s="48"/>
      <c r="M525" s="48"/>
      <c r="N525" s="48"/>
      <c r="O525" s="48"/>
      <c r="P525" s="48"/>
      <c r="Q525" s="48"/>
      <c r="R525" s="48"/>
      <c r="S525" s="48"/>
      <c r="T525" s="48"/>
      <c r="U525" s="48"/>
      <c r="V525" s="48"/>
      <c r="W525" s="48"/>
      <c r="X525" s="48"/>
      <c r="Y525" s="48"/>
      <c r="Z525" s="48"/>
      <c r="AA525" s="48"/>
      <c r="AB525" s="48"/>
      <c r="AC525" s="1442">
        <v>6</v>
      </c>
      <c r="AD525" s="1443"/>
      <c r="AE525" s="1443"/>
      <c r="AF525" s="1443"/>
      <c r="AG525" s="38" t="s">
        <v>404</v>
      </c>
      <c r="AH525" s="1434">
        <v>2025</v>
      </c>
      <c r="AI525" s="1434"/>
      <c r="AJ525" s="1434"/>
      <c r="AK525" s="1435"/>
      <c r="AZ525" s="3"/>
      <c r="BA525" s="3"/>
      <c r="BB525" s="3"/>
      <c r="BC525" s="3"/>
      <c r="BD525" s="3"/>
      <c r="BE525" s="3"/>
      <c r="BF525" s="3"/>
      <c r="BG525" s="3"/>
      <c r="BH525" s="3"/>
      <c r="BI525" s="3"/>
      <c r="BJ525" s="3"/>
      <c r="BK525" s="3"/>
      <c r="BL525" s="3"/>
      <c r="BM525" s="3"/>
      <c r="BN525" s="3" t="s">
        <v>2436</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20"/>
      <c r="C526" s="1421"/>
      <c r="D526" s="1421"/>
      <c r="E526" s="1421"/>
      <c r="F526" s="1421"/>
      <c r="G526" s="1421"/>
      <c r="H526" s="1422"/>
      <c r="I526" s="42" t="s">
        <v>424</v>
      </c>
      <c r="J526" s="42"/>
      <c r="K526" s="42"/>
      <c r="L526" s="42"/>
      <c r="M526" s="42"/>
      <c r="N526" s="42"/>
      <c r="O526" s="1432" t="s">
        <v>335</v>
      </c>
      <c r="P526" s="1433"/>
      <c r="Q526" s="1433"/>
      <c r="R526" s="1433"/>
      <c r="S526" s="1433"/>
      <c r="T526" s="1433"/>
      <c r="U526" s="1433"/>
      <c r="V526" s="1433"/>
      <c r="W526" s="1433"/>
      <c r="X526" s="1433"/>
      <c r="Y526" s="1433"/>
      <c r="Z526" s="1433"/>
      <c r="AA526" s="1433"/>
      <c r="AC526" s="1442" t="s">
        <v>600</v>
      </c>
      <c r="AD526" s="1443"/>
      <c r="AE526" s="1443"/>
      <c r="AF526" s="1443"/>
      <c r="AG526" s="13" t="s">
        <v>404</v>
      </c>
      <c r="AH526" s="1434"/>
      <c r="AI526" s="1434"/>
      <c r="AJ526" s="1434"/>
      <c r="AK526" s="1435"/>
      <c r="AZ526" s="3"/>
      <c r="BA526" s="3"/>
      <c r="BB526" s="3"/>
      <c r="BC526" s="3"/>
      <c r="BD526" s="3"/>
      <c r="BE526" s="3"/>
      <c r="BF526" s="3"/>
      <c r="BG526" s="3"/>
      <c r="BH526" s="3"/>
      <c r="BI526" s="3"/>
      <c r="BJ526" s="3"/>
      <c r="BK526" s="3"/>
      <c r="BL526" s="3"/>
      <c r="BM526" s="3"/>
      <c r="BN526" s="3" t="s">
        <v>2437</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20"/>
      <c r="C527" s="1421"/>
      <c r="D527" s="1421"/>
      <c r="E527" s="1421"/>
      <c r="F527" s="1421"/>
      <c r="G527" s="1421"/>
      <c r="H527" s="1422"/>
      <c r="I527" t="s">
        <v>422</v>
      </c>
      <c r="AC527" s="1442" t="s">
        <v>600</v>
      </c>
      <c r="AD527" s="1443"/>
      <c r="AE527" s="1443"/>
      <c r="AF527" s="1443"/>
      <c r="AG527" s="13" t="s">
        <v>404</v>
      </c>
      <c r="AH527" s="1434"/>
      <c r="AI527" s="1434"/>
      <c r="AJ527" s="1434"/>
      <c r="AK527" s="1435"/>
      <c r="AZ527" s="3"/>
      <c r="BA527" s="3"/>
      <c r="BB527" s="3"/>
      <c r="BC527" s="3"/>
      <c r="BD527" s="3"/>
      <c r="BE527" s="3"/>
      <c r="BF527" s="3"/>
      <c r="BG527" s="3"/>
      <c r="BH527" s="3"/>
      <c r="BI527" s="3"/>
      <c r="BJ527" s="3"/>
      <c r="BK527" s="3"/>
      <c r="BL527" s="3"/>
      <c r="BM527" s="3"/>
      <c r="BN527" s="3" t="s">
        <v>2438</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20"/>
      <c r="C528" s="1421"/>
      <c r="D528" s="1421"/>
      <c r="E528" s="1421"/>
      <c r="F528" s="1421"/>
      <c r="G528" s="1421"/>
      <c r="H528" s="1422"/>
      <c r="I528" s="48" t="s">
        <v>423</v>
      </c>
      <c r="J528" s="48"/>
      <c r="K528" s="48"/>
      <c r="L528" s="48"/>
      <c r="M528" s="48"/>
      <c r="N528" s="48"/>
      <c r="O528" s="48"/>
      <c r="P528" s="48"/>
      <c r="Q528" s="48"/>
      <c r="R528" s="48"/>
      <c r="S528" s="48"/>
      <c r="T528" s="48"/>
      <c r="U528" s="48"/>
      <c r="V528" s="48"/>
      <c r="W528" s="48"/>
      <c r="X528" s="48"/>
      <c r="Y528" s="48"/>
      <c r="Z528" s="48"/>
      <c r="AA528" s="48"/>
      <c r="AB528" s="48"/>
      <c r="AC528" s="1442" t="s">
        <v>600</v>
      </c>
      <c r="AD528" s="1443"/>
      <c r="AE528" s="1443"/>
      <c r="AF528" s="1443"/>
      <c r="AG528" s="38" t="s">
        <v>404</v>
      </c>
      <c r="AH528" s="1434"/>
      <c r="AI528" s="1434"/>
      <c r="AJ528" s="1434"/>
      <c r="AK528" s="1435"/>
      <c r="AZ528" s="3"/>
      <c r="BA528" s="3"/>
      <c r="BB528" s="3"/>
      <c r="BC528" s="3"/>
      <c r="BD528" s="3"/>
      <c r="BE528" s="3"/>
      <c r="BF528" s="3"/>
      <c r="BG528" s="3"/>
      <c r="BH528" s="3"/>
      <c r="BI528" s="3"/>
      <c r="BJ528" s="3"/>
      <c r="BK528" s="3"/>
      <c r="BL528" s="3"/>
      <c r="BM528" s="3"/>
      <c r="BN528" s="3" t="s">
        <v>2439</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20"/>
      <c r="C529" s="1421"/>
      <c r="D529" s="1421"/>
      <c r="E529" s="1421"/>
      <c r="F529" s="1421"/>
      <c r="G529" s="1421"/>
      <c r="H529" s="1422"/>
      <c r="I529" s="42" t="s">
        <v>424</v>
      </c>
      <c r="J529" s="42"/>
      <c r="K529" s="42"/>
      <c r="L529" s="42"/>
      <c r="M529" s="42"/>
      <c r="N529" s="42"/>
      <c r="O529" s="1432" t="s">
        <v>335</v>
      </c>
      <c r="P529" s="1433"/>
      <c r="Q529" s="1433"/>
      <c r="R529" s="1433"/>
      <c r="S529" s="1433"/>
      <c r="T529" s="1433"/>
      <c r="U529" s="1433"/>
      <c r="V529" s="1433"/>
      <c r="W529" s="1433"/>
      <c r="X529" s="1433"/>
      <c r="Y529" s="1433"/>
      <c r="Z529" s="1433"/>
      <c r="AA529" s="1433"/>
      <c r="AC529" s="1442" t="s">
        <v>600</v>
      </c>
      <c r="AD529" s="1443"/>
      <c r="AE529" s="1443"/>
      <c r="AF529" s="1443"/>
      <c r="AG529" s="13" t="s">
        <v>404</v>
      </c>
      <c r="AH529" s="1434"/>
      <c r="AI529" s="1434"/>
      <c r="AJ529" s="1434"/>
      <c r="AK529" s="1435"/>
      <c r="AZ529" s="3"/>
      <c r="BA529" s="3"/>
      <c r="BB529" s="3"/>
      <c r="BC529" s="3"/>
      <c r="BD529" s="3"/>
      <c r="BE529" s="3"/>
      <c r="BF529" s="3"/>
      <c r="BG529" s="3"/>
      <c r="BH529" s="3"/>
      <c r="BI529" s="3"/>
      <c r="BJ529" s="3"/>
      <c r="BK529" s="3"/>
      <c r="BL529" s="3"/>
      <c r="BM529" s="3"/>
      <c r="BN529" s="3" t="s">
        <v>2440</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20"/>
      <c r="C530" s="1421"/>
      <c r="D530" s="1421"/>
      <c r="E530" s="1421"/>
      <c r="F530" s="1421"/>
      <c r="G530" s="1421"/>
      <c r="H530" s="1422"/>
      <c r="I530" t="s">
        <v>422</v>
      </c>
      <c r="AC530" s="1442" t="s">
        <v>600</v>
      </c>
      <c r="AD530" s="1443"/>
      <c r="AE530" s="1443"/>
      <c r="AF530" s="1443"/>
      <c r="AG530" s="13" t="s">
        <v>404</v>
      </c>
      <c r="AH530" s="1434"/>
      <c r="AI530" s="1434"/>
      <c r="AJ530" s="1434"/>
      <c r="AK530" s="1435"/>
      <c r="AZ530" s="3"/>
      <c r="BA530" s="3"/>
      <c r="BB530" s="3"/>
      <c r="BC530" s="3"/>
      <c r="BD530" s="3"/>
      <c r="BE530" s="3"/>
      <c r="BF530" s="3"/>
      <c r="BG530" s="3"/>
      <c r="BH530" s="3"/>
      <c r="BI530" s="3"/>
      <c r="BJ530" s="3"/>
      <c r="BK530" s="3"/>
      <c r="BL530" s="3"/>
      <c r="BM530" s="3"/>
      <c r="BN530" s="3" t="s">
        <v>2441</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20"/>
      <c r="C531" s="1421"/>
      <c r="D531" s="1421"/>
      <c r="E531" s="1421"/>
      <c r="F531" s="1421"/>
      <c r="G531" s="1421"/>
      <c r="H531" s="1422"/>
      <c r="I531" s="48" t="s">
        <v>423</v>
      </c>
      <c r="J531" s="48"/>
      <c r="K531" s="48"/>
      <c r="L531" s="48"/>
      <c r="M531" s="48"/>
      <c r="N531" s="48"/>
      <c r="O531" s="48"/>
      <c r="P531" s="48"/>
      <c r="Q531" s="48"/>
      <c r="R531" s="48"/>
      <c r="S531" s="48"/>
      <c r="T531" s="48"/>
      <c r="U531" s="48"/>
      <c r="V531" s="48"/>
      <c r="W531" s="48"/>
      <c r="X531" s="48"/>
      <c r="Y531" s="48"/>
      <c r="Z531" s="48"/>
      <c r="AA531" s="48"/>
      <c r="AB531" s="48"/>
      <c r="AC531" s="1442" t="s">
        <v>600</v>
      </c>
      <c r="AD531" s="1443"/>
      <c r="AE531" s="1443"/>
      <c r="AF531" s="1443"/>
      <c r="AG531" s="38" t="s">
        <v>404</v>
      </c>
      <c r="AH531" s="1434"/>
      <c r="AI531" s="1434"/>
      <c r="AJ531" s="1434"/>
      <c r="AK531" s="1435"/>
      <c r="AZ531" s="3"/>
      <c r="BA531" s="3"/>
      <c r="BB531" s="3"/>
      <c r="BC531" s="3"/>
      <c r="BD531" s="3"/>
      <c r="BE531" s="3"/>
      <c r="BF531" s="3"/>
      <c r="BG531" s="3"/>
      <c r="BH531" s="3"/>
      <c r="BI531" s="3"/>
      <c r="BJ531" s="3"/>
      <c r="BK531" s="3"/>
      <c r="BL531" s="3"/>
      <c r="BM531" s="3"/>
      <c r="BN531" s="3" t="s">
        <v>2442</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20"/>
      <c r="C532" s="1421"/>
      <c r="D532" s="1421"/>
      <c r="E532" s="1421"/>
      <c r="F532" s="1421"/>
      <c r="G532" s="1421"/>
      <c r="H532" s="1422"/>
      <c r="I532" s="42" t="s">
        <v>424</v>
      </c>
      <c r="J532" s="42"/>
      <c r="K532" s="42"/>
      <c r="L532" s="42"/>
      <c r="M532" s="42"/>
      <c r="N532" s="42"/>
      <c r="O532" s="1432" t="s">
        <v>335</v>
      </c>
      <c r="P532" s="1433"/>
      <c r="Q532" s="1433"/>
      <c r="R532" s="1433"/>
      <c r="S532" s="1433"/>
      <c r="T532" s="1433"/>
      <c r="U532" s="1433"/>
      <c r="V532" s="1433"/>
      <c r="W532" s="1433"/>
      <c r="X532" s="1433"/>
      <c r="Y532" s="1433"/>
      <c r="Z532" s="1433"/>
      <c r="AA532" s="1433"/>
      <c r="AC532" s="1442" t="s">
        <v>600</v>
      </c>
      <c r="AD532" s="1443"/>
      <c r="AE532" s="1443"/>
      <c r="AF532" s="1443"/>
      <c r="AG532" s="13" t="s">
        <v>404</v>
      </c>
      <c r="AH532" s="1434"/>
      <c r="AI532" s="1434"/>
      <c r="AJ532" s="1434"/>
      <c r="AK532" s="1435"/>
      <c r="AZ532" s="3"/>
      <c r="BA532" s="3"/>
      <c r="BB532" s="3"/>
      <c r="BC532" s="3"/>
      <c r="BD532" s="3"/>
      <c r="BE532" s="3"/>
      <c r="BF532" s="3"/>
      <c r="BG532" s="3"/>
      <c r="BH532" s="3"/>
      <c r="BI532" s="3"/>
      <c r="BJ532" s="3"/>
      <c r="BK532" s="3"/>
      <c r="BL532" s="3"/>
      <c r="BM532" s="3"/>
      <c r="BN532" s="3" t="s">
        <v>2443</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20"/>
      <c r="C533" s="1421"/>
      <c r="D533" s="1421"/>
      <c r="E533" s="1421"/>
      <c r="F533" s="1421"/>
      <c r="G533" s="1421"/>
      <c r="H533" s="1422"/>
      <c r="I533" t="s">
        <v>422</v>
      </c>
      <c r="AC533" s="1442" t="s">
        <v>600</v>
      </c>
      <c r="AD533" s="1443"/>
      <c r="AE533" s="1443"/>
      <c r="AF533" s="1443"/>
      <c r="AG533" s="38" t="s">
        <v>404</v>
      </c>
      <c r="AH533" s="1434"/>
      <c r="AI533" s="1434"/>
      <c r="AJ533" s="1434"/>
      <c r="AK533" s="1435"/>
      <c r="AZ533" s="3"/>
      <c r="BA533" s="3"/>
      <c r="BB533" s="3"/>
      <c r="BC533" s="3"/>
      <c r="BD533" s="3"/>
      <c r="BE533" s="3"/>
      <c r="BF533" s="3"/>
      <c r="BG533" s="3"/>
      <c r="BH533" s="3"/>
      <c r="BI533" s="3"/>
      <c r="BJ533" s="3"/>
      <c r="BK533" s="3"/>
      <c r="BL533" s="3"/>
      <c r="BM533" s="3"/>
      <c r="BN533" s="3" t="s">
        <v>2444</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20"/>
      <c r="C534" s="1421"/>
      <c r="D534" s="1421"/>
      <c r="E534" s="1421"/>
      <c r="F534" s="1421"/>
      <c r="G534" s="1421"/>
      <c r="H534" s="1422"/>
      <c r="I534" s="48" t="s">
        <v>423</v>
      </c>
      <c r="J534" s="48"/>
      <c r="K534" s="48"/>
      <c r="L534" s="48"/>
      <c r="M534" s="48"/>
      <c r="N534" s="48"/>
      <c r="O534" s="48"/>
      <c r="P534" s="48"/>
      <c r="Q534" s="48"/>
      <c r="R534" s="48"/>
      <c r="S534" s="48"/>
      <c r="T534" s="48"/>
      <c r="U534" s="48"/>
      <c r="V534" s="48"/>
      <c r="W534" s="48"/>
      <c r="X534" s="48"/>
      <c r="Y534" s="48"/>
      <c r="Z534" s="48"/>
      <c r="AA534" s="48"/>
      <c r="AB534" s="48"/>
      <c r="AC534" s="1442" t="s">
        <v>600</v>
      </c>
      <c r="AD534" s="1443"/>
      <c r="AE534" s="1443"/>
      <c r="AF534" s="1443"/>
      <c r="AG534" s="13" t="s">
        <v>404</v>
      </c>
      <c r="AH534" s="1434"/>
      <c r="AI534" s="1434"/>
      <c r="AJ534" s="1434"/>
      <c r="AK534" s="1435"/>
      <c r="AZ534" s="3"/>
      <c r="BA534" s="3"/>
      <c r="BB534" s="3"/>
      <c r="BC534" s="3"/>
      <c r="BD534" s="3"/>
      <c r="BE534" s="3"/>
      <c r="BF534" s="3"/>
      <c r="BG534" s="3"/>
      <c r="BH534" s="3"/>
      <c r="BI534" s="3"/>
      <c r="BJ534" s="3"/>
      <c r="BK534" s="3"/>
      <c r="BL534" s="3"/>
      <c r="BM534" s="3"/>
      <c r="BN534" s="3" t="s">
        <v>2445</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20"/>
      <c r="C535" s="1421"/>
      <c r="D535" s="1421"/>
      <c r="E535" s="1421"/>
      <c r="F535" s="1421"/>
      <c r="G535" s="1421"/>
      <c r="H535" s="1422"/>
      <c r="I535" s="42" t="s">
        <v>424</v>
      </c>
      <c r="J535" s="42"/>
      <c r="K535" s="42"/>
      <c r="L535" s="42"/>
      <c r="M535" s="42"/>
      <c r="N535" s="42"/>
      <c r="O535" s="1432" t="s">
        <v>335</v>
      </c>
      <c r="P535" s="1433"/>
      <c r="Q535" s="1433"/>
      <c r="R535" s="1433"/>
      <c r="S535" s="1433"/>
      <c r="T535" s="1433"/>
      <c r="U535" s="1433"/>
      <c r="V535" s="1433"/>
      <c r="W535" s="1433"/>
      <c r="X535" s="1433"/>
      <c r="Y535" s="1433"/>
      <c r="Z535" s="1433"/>
      <c r="AA535" s="1433"/>
      <c r="AC535" s="1442" t="s">
        <v>600</v>
      </c>
      <c r="AD535" s="1443"/>
      <c r="AE535" s="1443"/>
      <c r="AF535" s="1443"/>
      <c r="AG535" s="38" t="s">
        <v>404</v>
      </c>
      <c r="AH535" s="1434"/>
      <c r="AI535" s="1434"/>
      <c r="AJ535" s="1434"/>
      <c r="AK535" s="1435"/>
      <c r="AZ535" s="3"/>
      <c r="BA535" s="3"/>
      <c r="BB535" s="3"/>
      <c r="BC535" s="3"/>
      <c r="BD535" s="3"/>
      <c r="BE535" s="3"/>
      <c r="BF535" s="3"/>
      <c r="BG535" s="3"/>
      <c r="BH535" s="3"/>
      <c r="BI535" s="3"/>
      <c r="BJ535" s="3"/>
      <c r="BK535" s="3"/>
      <c r="BL535" s="3"/>
      <c r="BM535" s="3"/>
      <c r="BN535" s="3" t="s">
        <v>2446</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20"/>
      <c r="C536" s="1421"/>
      <c r="D536" s="1421"/>
      <c r="E536" s="1421"/>
      <c r="F536" s="1421"/>
      <c r="G536" s="1421"/>
      <c r="H536" s="1422"/>
      <c r="I536" t="s">
        <v>422</v>
      </c>
      <c r="AC536" s="1442" t="s">
        <v>600</v>
      </c>
      <c r="AD536" s="1443"/>
      <c r="AE536" s="1443"/>
      <c r="AF536" s="1443"/>
      <c r="AG536" s="13" t="s">
        <v>404</v>
      </c>
      <c r="AH536" s="1434"/>
      <c r="AI536" s="1434"/>
      <c r="AJ536" s="1434"/>
      <c r="AK536" s="1435"/>
      <c r="AZ536" s="3"/>
      <c r="BA536" s="3"/>
      <c r="BB536" s="3"/>
      <c r="BC536" s="3"/>
      <c r="BD536" s="3"/>
      <c r="BE536" s="3"/>
      <c r="BF536" s="3"/>
      <c r="BG536" s="3"/>
      <c r="BH536" s="3"/>
      <c r="BI536" s="3"/>
      <c r="BJ536" s="3"/>
      <c r="BK536" s="3"/>
      <c r="BL536" s="3"/>
      <c r="BM536" s="3"/>
      <c r="BN536" s="3" t="s">
        <v>2447</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20"/>
      <c r="C537" s="1421"/>
      <c r="D537" s="1421"/>
      <c r="E537" s="1421"/>
      <c r="F537" s="1421"/>
      <c r="G537" s="1421"/>
      <c r="H537" s="1422"/>
      <c r="I537" s="48" t="s">
        <v>423</v>
      </c>
      <c r="J537" s="48"/>
      <c r="K537" s="48"/>
      <c r="L537" s="48"/>
      <c r="M537" s="48"/>
      <c r="N537" s="48"/>
      <c r="O537" s="48"/>
      <c r="P537" s="48"/>
      <c r="Q537" s="48"/>
      <c r="R537" s="48"/>
      <c r="S537" s="48"/>
      <c r="T537" s="48"/>
      <c r="U537" s="48"/>
      <c r="V537" s="48"/>
      <c r="W537" s="48"/>
      <c r="X537" s="48"/>
      <c r="Y537" s="48"/>
      <c r="Z537" s="48"/>
      <c r="AA537" s="48"/>
      <c r="AB537" s="48"/>
      <c r="AC537" s="1442" t="s">
        <v>600</v>
      </c>
      <c r="AD537" s="1443"/>
      <c r="AE537" s="1443"/>
      <c r="AF537" s="1443"/>
      <c r="AG537" s="38" t="s">
        <v>404</v>
      </c>
      <c r="AH537" s="1434"/>
      <c r="AI537" s="1434"/>
      <c r="AJ537" s="1434"/>
      <c r="AK537" s="1435"/>
      <c r="AZ537" s="3"/>
      <c r="BA537" s="3"/>
      <c r="BB537" s="3"/>
      <c r="BC537" s="3"/>
      <c r="BD537" s="3"/>
      <c r="BE537" s="3"/>
      <c r="BF537" s="3"/>
      <c r="BG537" s="3"/>
      <c r="BH537" s="3"/>
      <c r="BI537" s="3"/>
      <c r="BJ537" s="3"/>
      <c r="BK537" s="3"/>
      <c r="BL537" s="3"/>
      <c r="BM537" s="3"/>
      <c r="BN537" s="3" t="s">
        <v>2448</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20"/>
      <c r="C538" s="1421"/>
      <c r="D538" s="1421"/>
      <c r="E538" s="1421"/>
      <c r="F538" s="1421"/>
      <c r="G538" s="1421"/>
      <c r="H538" s="1422"/>
      <c r="I538" s="42" t="s">
        <v>571</v>
      </c>
      <c r="J538" s="42"/>
      <c r="K538" s="42"/>
      <c r="L538" s="42"/>
      <c r="M538" s="42"/>
      <c r="N538" s="42"/>
      <c r="O538" s="42"/>
      <c r="P538" s="42"/>
      <c r="Q538" s="42"/>
      <c r="R538" s="42"/>
      <c r="S538" s="42"/>
      <c r="T538" s="42"/>
      <c r="U538" s="42"/>
      <c r="V538" s="42"/>
      <c r="W538" s="42"/>
      <c r="AC538" s="1442">
        <v>10</v>
      </c>
      <c r="AD538" s="1443"/>
      <c r="AE538" s="1443"/>
      <c r="AF538" s="1443"/>
      <c r="AG538" s="38" t="s">
        <v>404</v>
      </c>
      <c r="AH538" s="1434">
        <v>2025</v>
      </c>
      <c r="AI538" s="1434"/>
      <c r="AJ538" s="1434"/>
      <c r="AK538" s="1435"/>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20"/>
      <c r="C539" s="1421"/>
      <c r="D539" s="1421"/>
      <c r="E539" s="1421"/>
      <c r="F539" s="1421"/>
      <c r="G539" s="1421"/>
      <c r="H539" s="1422"/>
      <c r="I539" t="s">
        <v>572</v>
      </c>
      <c r="AC539" s="1442">
        <v>6</v>
      </c>
      <c r="AD539" s="1443"/>
      <c r="AE539" s="1443"/>
      <c r="AF539" s="1443"/>
      <c r="AG539" s="13" t="s">
        <v>404</v>
      </c>
      <c r="AH539" s="1434">
        <v>2025</v>
      </c>
      <c r="AI539" s="1434"/>
      <c r="AJ539" s="1434"/>
      <c r="AK539" s="1435"/>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20"/>
      <c r="C540" s="1421"/>
      <c r="D540" s="1421"/>
      <c r="E540" s="1421"/>
      <c r="F540" s="1421"/>
      <c r="G540" s="1421"/>
      <c r="H540" s="1422"/>
      <c r="I540" t="s">
        <v>573</v>
      </c>
      <c r="AC540" s="1442">
        <v>7</v>
      </c>
      <c r="AD540" s="1443"/>
      <c r="AE540" s="1443"/>
      <c r="AF540" s="1443"/>
      <c r="AG540" s="38" t="s">
        <v>404</v>
      </c>
      <c r="AH540" s="1434">
        <v>2027</v>
      </c>
      <c r="AI540" s="1434"/>
      <c r="AJ540" s="1434"/>
      <c r="AK540" s="1435"/>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20"/>
      <c r="C541" s="1421"/>
      <c r="D541" s="1421"/>
      <c r="E541" s="1421"/>
      <c r="F541" s="1421"/>
      <c r="G541" s="1421"/>
      <c r="H541" s="1422"/>
      <c r="I541" t="s">
        <v>574</v>
      </c>
      <c r="AC541" s="1442">
        <v>7</v>
      </c>
      <c r="AD541" s="1443"/>
      <c r="AE541" s="1443"/>
      <c r="AF541" s="1443"/>
      <c r="AG541" s="38" t="s">
        <v>404</v>
      </c>
      <c r="AH541" s="1434">
        <v>2027</v>
      </c>
      <c r="AI541" s="1434"/>
      <c r="AJ541" s="1434"/>
      <c r="AK541" s="1435"/>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23"/>
      <c r="C542" s="1424"/>
      <c r="D542" s="1424"/>
      <c r="E542" s="1424"/>
      <c r="F542" s="1424"/>
      <c r="G542" s="1424"/>
      <c r="H542" s="1425"/>
      <c r="I542" s="48" t="s">
        <v>460</v>
      </c>
      <c r="J542" s="48"/>
      <c r="K542" s="48"/>
      <c r="L542" s="48"/>
      <c r="M542" s="48"/>
      <c r="N542" s="48"/>
      <c r="O542" s="48"/>
      <c r="P542" s="48"/>
      <c r="Q542" s="48"/>
      <c r="R542" s="48"/>
      <c r="S542" s="48"/>
      <c r="T542" s="48"/>
      <c r="U542" s="48"/>
      <c r="V542" s="48"/>
      <c r="W542" s="48"/>
      <c r="X542" s="48"/>
      <c r="Y542" s="48"/>
      <c r="Z542" s="48"/>
      <c r="AA542" s="48"/>
      <c r="AB542" s="48"/>
      <c r="AC542" s="1442">
        <v>12</v>
      </c>
      <c r="AD542" s="1443"/>
      <c r="AE542" s="1443"/>
      <c r="AF542" s="1443"/>
      <c r="AG542" s="38" t="s">
        <v>404</v>
      </c>
      <c r="AH542" s="1434">
        <v>2027</v>
      </c>
      <c r="AI542" s="1434"/>
      <c r="AJ542" s="1434"/>
      <c r="AK542" s="1435"/>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82" t="s">
        <v>552</v>
      </c>
      <c r="B544" s="1282"/>
      <c r="C544" s="1282"/>
      <c r="D544" s="1282"/>
      <c r="E544" s="1282"/>
      <c r="F544" s="1282"/>
      <c r="G544" s="1282"/>
      <c r="H544" s="1282"/>
      <c r="I544" s="1282"/>
      <c r="J544" s="1282"/>
      <c r="K544" s="1282"/>
      <c r="L544" s="1282"/>
      <c r="M544" s="1282"/>
      <c r="N544" s="1282"/>
      <c r="O544" s="1282"/>
      <c r="P544" s="1282"/>
      <c r="Q544" s="1282"/>
      <c r="R544" s="1282"/>
      <c r="S544" s="1282"/>
      <c r="T544" s="1282"/>
      <c r="U544" s="1282"/>
      <c r="V544" s="1282"/>
      <c r="W544" s="1282"/>
      <c r="X544" s="1282"/>
      <c r="Y544" s="1282"/>
      <c r="Z544" s="1282"/>
      <c r="AA544" s="1282"/>
      <c r="AB544" s="1282"/>
      <c r="AC544" s="1282"/>
      <c r="AD544" s="1282"/>
      <c r="AE544" s="1282"/>
      <c r="AF544" s="1282"/>
      <c r="AG544" s="1282"/>
      <c r="AH544" s="1282"/>
      <c r="AI544" s="1282"/>
      <c r="AJ544" s="1282"/>
      <c r="AK544" s="1282"/>
      <c r="AL544" s="1282"/>
      <c r="AM544" s="1282"/>
      <c r="AN544" s="1282"/>
      <c r="AO544" s="1282"/>
      <c r="AP544" s="1282"/>
      <c r="AQ544" s="1282"/>
      <c r="AR544" s="1282"/>
      <c r="AS544" s="1282"/>
      <c r="AT544" s="1282"/>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82"/>
      <c r="B545" s="1282"/>
      <c r="C545" s="1282"/>
      <c r="D545" s="1282"/>
      <c r="E545" s="1282"/>
      <c r="F545" s="1282"/>
      <c r="G545" s="1282"/>
      <c r="H545" s="1282"/>
      <c r="I545" s="1282"/>
      <c r="J545" s="1282"/>
      <c r="K545" s="1282"/>
      <c r="L545" s="1282"/>
      <c r="M545" s="1282"/>
      <c r="N545" s="1282"/>
      <c r="O545" s="1282"/>
      <c r="P545" s="1282"/>
      <c r="Q545" s="1282"/>
      <c r="R545" s="1282"/>
      <c r="S545" s="1282"/>
      <c r="T545" s="1282"/>
      <c r="U545" s="1282"/>
      <c r="V545" s="1282"/>
      <c r="W545" s="1282"/>
      <c r="X545" s="1282"/>
      <c r="Y545" s="1282"/>
      <c r="Z545" s="1282"/>
      <c r="AA545" s="1282"/>
      <c r="AB545" s="1282"/>
      <c r="AC545" s="1282"/>
      <c r="AD545" s="1282"/>
      <c r="AE545" s="1282"/>
      <c r="AF545" s="1282"/>
      <c r="AG545" s="1282"/>
      <c r="AH545" s="1282"/>
      <c r="AI545" s="1282"/>
      <c r="AJ545" s="1282"/>
      <c r="AK545" s="1282"/>
      <c r="AL545" s="1282"/>
      <c r="AM545" s="1282"/>
      <c r="AN545" s="1282"/>
      <c r="AO545" s="1282"/>
      <c r="AP545" s="1282"/>
      <c r="AQ545" s="1282"/>
      <c r="AR545" s="1282"/>
      <c r="AS545" s="1282"/>
      <c r="AT545" s="1282"/>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2420</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17" t="s">
        <v>2422</v>
      </c>
      <c r="C551" s="1418"/>
      <c r="D551" s="1418"/>
      <c r="E551" s="1418"/>
      <c r="F551" s="1418"/>
      <c r="G551" s="1418"/>
      <c r="H551" s="1418"/>
      <c r="I551" s="1418"/>
      <c r="J551" s="1418"/>
      <c r="K551" s="1418"/>
      <c r="L551" s="1419"/>
      <c r="M551" s="1417" t="s">
        <v>2423</v>
      </c>
      <c r="N551" s="1418"/>
      <c r="O551" s="1418"/>
      <c r="P551" s="1419"/>
      <c r="Q551" s="1417" t="s">
        <v>2449</v>
      </c>
      <c r="R551" s="1418"/>
      <c r="S551" s="1419"/>
      <c r="T551" s="1417" t="s">
        <v>2450</v>
      </c>
      <c r="U551" s="1418"/>
      <c r="V551" s="1419"/>
      <c r="W551" s="1417" t="s">
        <v>462</v>
      </c>
      <c r="X551" s="1418"/>
      <c r="Y551" s="1419"/>
      <c r="Z551" s="1417" t="s">
        <v>2043</v>
      </c>
      <c r="AA551" s="1418"/>
      <c r="AB551" s="1418"/>
      <c r="AC551" s="1418"/>
      <c r="AD551" s="1419"/>
      <c r="AE551" s="1417" t="s">
        <v>1865</v>
      </c>
      <c r="AF551" s="1418"/>
      <c r="AG551" s="1418"/>
      <c r="AH551" s="1419"/>
      <c r="AI551" s="1417" t="s">
        <v>1866</v>
      </c>
      <c r="AJ551" s="1418"/>
      <c r="AK551" s="1418"/>
      <c r="AL551" s="1419"/>
      <c r="AM551" s="1417" t="s">
        <v>463</v>
      </c>
      <c r="AN551" s="1418"/>
      <c r="AO551" s="1418"/>
      <c r="AP551" s="1418"/>
      <c r="AQ551" s="1418"/>
      <c r="AR551" s="1418"/>
      <c r="AS551" s="1419"/>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20"/>
      <c r="C552" s="1421"/>
      <c r="D552" s="1421"/>
      <c r="E552" s="1421"/>
      <c r="F552" s="1421"/>
      <c r="G552" s="1421"/>
      <c r="H552" s="1421"/>
      <c r="I552" s="1421"/>
      <c r="J552" s="1421"/>
      <c r="K552" s="1421"/>
      <c r="L552" s="1422"/>
      <c r="M552" s="1420"/>
      <c r="N552" s="1421"/>
      <c r="O552" s="1421"/>
      <c r="P552" s="1422"/>
      <c r="Q552" s="1420"/>
      <c r="R552" s="1421"/>
      <c r="S552" s="1422"/>
      <c r="T552" s="1420"/>
      <c r="U552" s="1421"/>
      <c r="V552" s="1422"/>
      <c r="W552" s="1420"/>
      <c r="X552" s="1421"/>
      <c r="Y552" s="1422"/>
      <c r="Z552" s="1420"/>
      <c r="AA552" s="1421"/>
      <c r="AB552" s="1421"/>
      <c r="AC552" s="1421"/>
      <c r="AD552" s="1422"/>
      <c r="AE552" s="1420"/>
      <c r="AF552" s="1421"/>
      <c r="AG552" s="1421"/>
      <c r="AH552" s="1422"/>
      <c r="AI552" s="1420"/>
      <c r="AJ552" s="1421"/>
      <c r="AK552" s="1421"/>
      <c r="AL552" s="1422"/>
      <c r="AM552" s="1420"/>
      <c r="AN552" s="1421"/>
      <c r="AO552" s="1421"/>
      <c r="AP552" s="1421"/>
      <c r="AQ552" s="1421"/>
      <c r="AR552" s="1421"/>
      <c r="AS552" s="1422"/>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23"/>
      <c r="C553" s="1424"/>
      <c r="D553" s="1424"/>
      <c r="E553" s="1424"/>
      <c r="F553" s="1424"/>
      <c r="G553" s="1424"/>
      <c r="H553" s="1424"/>
      <c r="I553" s="1424"/>
      <c r="J553" s="1424"/>
      <c r="K553" s="1424"/>
      <c r="L553" s="1425"/>
      <c r="M553" s="1423"/>
      <c r="N553" s="1424"/>
      <c r="O553" s="1424"/>
      <c r="P553" s="1425"/>
      <c r="Q553" s="1423"/>
      <c r="R553" s="1424"/>
      <c r="S553" s="1425"/>
      <c r="T553" s="1423"/>
      <c r="U553" s="1424"/>
      <c r="V553" s="1425"/>
      <c r="W553" s="1423"/>
      <c r="X553" s="1424"/>
      <c r="Y553" s="1425"/>
      <c r="Z553" s="1423"/>
      <c r="AA553" s="1424"/>
      <c r="AB553" s="1424"/>
      <c r="AC553" s="1424"/>
      <c r="AD553" s="1425"/>
      <c r="AE553" s="1423"/>
      <c r="AF553" s="1424"/>
      <c r="AG553" s="1424"/>
      <c r="AH553" s="1425"/>
      <c r="AI553" s="1423"/>
      <c r="AJ553" s="1424"/>
      <c r="AK553" s="1424"/>
      <c r="AL553" s="1425"/>
      <c r="AM553" s="1423"/>
      <c r="AN553" s="1424"/>
      <c r="AO553" s="1424"/>
      <c r="AP553" s="1424"/>
      <c r="AQ553" s="1424"/>
      <c r="AR553" s="1424"/>
      <c r="AS553" s="1425"/>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28.5" customHeight="1">
      <c r="B554" s="51" t="s">
        <v>112</v>
      </c>
      <c r="C554" s="1515" t="s">
        <v>2797</v>
      </c>
      <c r="D554" s="1515"/>
      <c r="E554" s="1515"/>
      <c r="F554" s="1515"/>
      <c r="G554" s="1515"/>
      <c r="H554" s="1515"/>
      <c r="I554" s="1515"/>
      <c r="J554" s="1515"/>
      <c r="K554" s="1515"/>
      <c r="L554" s="1515"/>
      <c r="M554" s="1515" t="s">
        <v>2439</v>
      </c>
      <c r="N554" s="1515"/>
      <c r="O554" s="1515"/>
      <c r="P554" s="1515"/>
      <c r="Q554" s="1437">
        <v>36</v>
      </c>
      <c r="R554" s="1437"/>
      <c r="S554" s="1438"/>
      <c r="T554" s="1436"/>
      <c r="U554" s="1437"/>
      <c r="V554" s="1438"/>
      <c r="W554" s="1447">
        <v>6.9699999999999998E-2</v>
      </c>
      <c r="X554" s="1448"/>
      <c r="Y554" s="1449"/>
      <c r="Z554" s="1530" t="s">
        <v>2745</v>
      </c>
      <c r="AA554" s="1530"/>
      <c r="AB554" s="1530"/>
      <c r="AC554" s="1530"/>
      <c r="AD554" s="1530"/>
      <c r="AE554" s="1411">
        <v>1</v>
      </c>
      <c r="AF554" s="1412"/>
      <c r="AG554" s="1412"/>
      <c r="AH554" s="1413"/>
      <c r="AI554" s="1532"/>
      <c r="AJ554" s="1533"/>
      <c r="AK554" s="1533"/>
      <c r="AL554" s="1534"/>
      <c r="AM554" s="1439">
        <v>52724987</v>
      </c>
      <c r="AN554" s="1440"/>
      <c r="AO554" s="1440"/>
      <c r="AP554" s="1440"/>
      <c r="AQ554" s="1440"/>
      <c r="AR554" s="1440"/>
      <c r="AS554" s="1441"/>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28.5" customHeight="1">
      <c r="B555" s="52" t="s">
        <v>113</v>
      </c>
      <c r="C555" s="1535" t="s">
        <v>2798</v>
      </c>
      <c r="D555" s="1535"/>
      <c r="E555" s="1535"/>
      <c r="F555" s="1535"/>
      <c r="G555" s="1535"/>
      <c r="H555" s="1535"/>
      <c r="I555" s="1535"/>
      <c r="J555" s="1535"/>
      <c r="K555" s="1535"/>
      <c r="L555" s="1535"/>
      <c r="M555" s="1515" t="s">
        <v>2438</v>
      </c>
      <c r="N555" s="1515"/>
      <c r="O555" s="1515"/>
      <c r="P555" s="1515"/>
      <c r="Q555" s="1436">
        <v>36</v>
      </c>
      <c r="R555" s="1437"/>
      <c r="S555" s="1438"/>
      <c r="T555" s="1436"/>
      <c r="U555" s="1437"/>
      <c r="V555" s="1438"/>
      <c r="W555" s="1447">
        <v>6.9699999999999998E-2</v>
      </c>
      <c r="X555" s="1448"/>
      <c r="Y555" s="1449"/>
      <c r="Z555" s="1530" t="s">
        <v>2745</v>
      </c>
      <c r="AA555" s="1530"/>
      <c r="AB555" s="1530"/>
      <c r="AC555" s="1530"/>
      <c r="AD555" s="1530"/>
      <c r="AE555" s="1411">
        <v>2</v>
      </c>
      <c r="AF555" s="1412"/>
      <c r="AG555" s="1412"/>
      <c r="AH555" s="1413"/>
      <c r="AI555" s="1532"/>
      <c r="AJ555" s="1533"/>
      <c r="AK555" s="1533"/>
      <c r="AL555" s="1534"/>
      <c r="AM555" s="1439">
        <v>20826800</v>
      </c>
      <c r="AN555" s="1440"/>
      <c r="AO555" s="1440"/>
      <c r="AP555" s="1440"/>
      <c r="AQ555" s="1440"/>
      <c r="AR555" s="1440"/>
      <c r="AS555" s="1441"/>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535" t="s">
        <v>2747</v>
      </c>
      <c r="D556" s="1535"/>
      <c r="E556" s="1535"/>
      <c r="F556" s="1535"/>
      <c r="G556" s="1535"/>
      <c r="H556" s="1535"/>
      <c r="I556" s="1535"/>
      <c r="J556" s="1535"/>
      <c r="K556" s="1535"/>
      <c r="L556" s="1535"/>
      <c r="M556" s="1515" t="s">
        <v>2430</v>
      </c>
      <c r="N556" s="1515"/>
      <c r="O556" s="1515"/>
      <c r="P556" s="1515"/>
      <c r="Q556" s="1436"/>
      <c r="R556" s="1437"/>
      <c r="S556" s="1438"/>
      <c r="T556" s="1436"/>
      <c r="U556" s="1437"/>
      <c r="V556" s="1438"/>
      <c r="W556" s="1447"/>
      <c r="X556" s="1448"/>
      <c r="Y556" s="1449"/>
      <c r="Z556" s="1530" t="s">
        <v>600</v>
      </c>
      <c r="AA556" s="1530"/>
      <c r="AB556" s="1530"/>
      <c r="AC556" s="1530"/>
      <c r="AD556" s="1530"/>
      <c r="AE556" s="1411"/>
      <c r="AF556" s="1412"/>
      <c r="AG556" s="1412"/>
      <c r="AH556" s="1413"/>
      <c r="AI556" s="1532"/>
      <c r="AJ556" s="1533"/>
      <c r="AK556" s="1533"/>
      <c r="AL556" s="1534"/>
      <c r="AM556" s="1439">
        <f>28577485-2262374</f>
        <v>26315111</v>
      </c>
      <c r="AN556" s="1440"/>
      <c r="AO556" s="1440"/>
      <c r="AP556" s="1440"/>
      <c r="AQ556" s="1440"/>
      <c r="AR556" s="1440"/>
      <c r="AS556" s="1441"/>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590</v>
      </c>
      <c r="C557" s="1535" t="s">
        <v>2746</v>
      </c>
      <c r="D557" s="1535"/>
      <c r="E557" s="1535"/>
      <c r="F557" s="1535"/>
      <c r="G557" s="1535"/>
      <c r="H557" s="1535"/>
      <c r="I557" s="1535"/>
      <c r="J557" s="1535"/>
      <c r="K557" s="1535"/>
      <c r="L557" s="1535"/>
      <c r="M557" s="1515" t="s">
        <v>2432</v>
      </c>
      <c r="N557" s="1515"/>
      <c r="O557" s="1515"/>
      <c r="P557" s="1515"/>
      <c r="Q557" s="1436">
        <v>660</v>
      </c>
      <c r="R557" s="1437"/>
      <c r="S557" s="1438"/>
      <c r="T557" s="1436"/>
      <c r="U557" s="1437"/>
      <c r="V557" s="1438"/>
      <c r="W557" s="1447">
        <v>0</v>
      </c>
      <c r="X557" s="1448"/>
      <c r="Y557" s="1449"/>
      <c r="Z557" s="1530" t="s">
        <v>600</v>
      </c>
      <c r="AA557" s="1530"/>
      <c r="AB557" s="1530"/>
      <c r="AC557" s="1530"/>
      <c r="AD557" s="1530"/>
      <c r="AE557" s="1411">
        <v>4</v>
      </c>
      <c r="AF557" s="1412"/>
      <c r="AG557" s="1412"/>
      <c r="AH557" s="1413"/>
      <c r="AI557" s="1532"/>
      <c r="AJ557" s="1533"/>
      <c r="AK557" s="1533"/>
      <c r="AL557" s="1534"/>
      <c r="AM557" s="1439">
        <v>6811172</v>
      </c>
      <c r="AN557" s="1440"/>
      <c r="AO557" s="1440"/>
      <c r="AP557" s="1440"/>
      <c r="AQ557" s="1440"/>
      <c r="AR557" s="1440"/>
      <c r="AS557" s="1441"/>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773</v>
      </c>
      <c r="C558" s="1593" t="s">
        <v>2754</v>
      </c>
      <c r="D558" s="1594"/>
      <c r="E558" s="1594"/>
      <c r="F558" s="1594"/>
      <c r="G558" s="1594"/>
      <c r="H558" s="1594"/>
      <c r="I558" s="1594"/>
      <c r="J558" s="1594"/>
      <c r="K558" s="1594"/>
      <c r="L558" s="1595"/>
      <c r="M558" s="1515" t="s">
        <v>2435</v>
      </c>
      <c r="N558" s="1515"/>
      <c r="O558" s="1515"/>
      <c r="P558" s="1515"/>
      <c r="Q558" s="1436">
        <v>660</v>
      </c>
      <c r="R558" s="1437"/>
      <c r="S558" s="1438"/>
      <c r="T558" s="1436"/>
      <c r="U558" s="1437"/>
      <c r="V558" s="1438"/>
      <c r="W558" s="1447">
        <v>0.03</v>
      </c>
      <c r="X558" s="1448"/>
      <c r="Y558" s="1449"/>
      <c r="Z558" s="1530" t="s">
        <v>2753</v>
      </c>
      <c r="AA558" s="1530"/>
      <c r="AB558" s="1530"/>
      <c r="AC558" s="1530"/>
      <c r="AD558" s="1530"/>
      <c r="AE558" s="1411">
        <v>3</v>
      </c>
      <c r="AF558" s="1412"/>
      <c r="AG558" s="1412"/>
      <c r="AH558" s="1413"/>
      <c r="AI558" s="1532"/>
      <c r="AJ558" s="1533"/>
      <c r="AK558" s="1533"/>
      <c r="AL558" s="1534"/>
      <c r="AM558" s="1439">
        <v>1867258</v>
      </c>
      <c r="AN558" s="1440"/>
      <c r="AO558" s="1440"/>
      <c r="AP558" s="1440"/>
      <c r="AQ558" s="1440"/>
      <c r="AR558" s="1440"/>
      <c r="AS558" s="1441"/>
      <c r="AT558" s="1192" t="str">
        <f>IF(AND(NOT(C557=""),C558="",NOT(C559="")),"!","")</f>
        <v/>
      </c>
      <c r="AU558" s="1191"/>
      <c r="BB558" s="3"/>
      <c r="BC558" s="3"/>
      <c r="BD558" s="3"/>
      <c r="BE558" s="3"/>
      <c r="BF558" s="3"/>
      <c r="BG558" s="3"/>
      <c r="BH558" s="3" t="s">
        <v>773</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593</v>
      </c>
      <c r="C559" s="1535"/>
      <c r="D559" s="1535"/>
      <c r="E559" s="1535"/>
      <c r="F559" s="1535"/>
      <c r="G559" s="1535"/>
      <c r="H559" s="1535"/>
      <c r="I559" s="1535"/>
      <c r="J559" s="1535"/>
      <c r="K559" s="1535"/>
      <c r="L559" s="1535"/>
      <c r="M559" s="1515" t="s">
        <v>1291</v>
      </c>
      <c r="N559" s="1515"/>
      <c r="O559" s="1515"/>
      <c r="P559" s="1515"/>
      <c r="Q559" s="1436"/>
      <c r="R559" s="1437"/>
      <c r="S559" s="1438"/>
      <c r="T559" s="1436"/>
      <c r="U559" s="1437"/>
      <c r="V559" s="1438"/>
      <c r="W559" s="1447"/>
      <c r="X559" s="1448"/>
      <c r="Y559" s="1449"/>
      <c r="Z559" s="1530" t="s">
        <v>1291</v>
      </c>
      <c r="AA559" s="1530"/>
      <c r="AB559" s="1530"/>
      <c r="AC559" s="1530"/>
      <c r="AD559" s="1530"/>
      <c r="AE559" s="1411"/>
      <c r="AF559" s="1412"/>
      <c r="AG559" s="1412"/>
      <c r="AH559" s="1413"/>
      <c r="AI559" s="1532"/>
      <c r="AJ559" s="1533"/>
      <c r="AK559" s="1533"/>
      <c r="AL559" s="1534"/>
      <c r="AM559" s="1439"/>
      <c r="AN559" s="1440"/>
      <c r="AO559" s="1440"/>
      <c r="AP559" s="1440"/>
      <c r="AQ559" s="1440"/>
      <c r="AR559" s="1440"/>
      <c r="AS559" s="1441"/>
      <c r="AT559" s="1192" t="str">
        <f>IF(AND(NOT(C558=""),C559="",NOT(C560="")),"!","")</f>
        <v/>
      </c>
      <c r="AU559" s="1191"/>
      <c r="BB559" s="3"/>
      <c r="BC559" s="3"/>
      <c r="BD559" s="3"/>
      <c r="BE559" s="3"/>
      <c r="BF559" s="3"/>
      <c r="BG559" s="3"/>
      <c r="BH559" s="3" t="s">
        <v>593</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464</v>
      </c>
      <c r="C560" s="1535"/>
      <c r="D560" s="1535"/>
      <c r="E560" s="1535"/>
      <c r="F560" s="1535"/>
      <c r="G560" s="1535"/>
      <c r="H560" s="1535"/>
      <c r="I560" s="1535"/>
      <c r="J560" s="1535"/>
      <c r="K560" s="1535"/>
      <c r="L560" s="1535"/>
      <c r="M560" s="1515" t="s">
        <v>1291</v>
      </c>
      <c r="N560" s="1515"/>
      <c r="O560" s="1515"/>
      <c r="P560" s="1515"/>
      <c r="Q560" s="1436"/>
      <c r="R560" s="1437"/>
      <c r="S560" s="1438"/>
      <c r="T560" s="1436"/>
      <c r="U560" s="1437"/>
      <c r="V560" s="1438"/>
      <c r="W560" s="1447"/>
      <c r="X560" s="1448"/>
      <c r="Y560" s="1449"/>
      <c r="Z560" s="1530" t="s">
        <v>1291</v>
      </c>
      <c r="AA560" s="1530"/>
      <c r="AB560" s="1530"/>
      <c r="AC560" s="1530"/>
      <c r="AD560" s="1530"/>
      <c r="AE560" s="1411"/>
      <c r="AF560" s="1412"/>
      <c r="AG560" s="1412"/>
      <c r="AH560" s="1413"/>
      <c r="AI560" s="1532"/>
      <c r="AJ560" s="1533"/>
      <c r="AK560" s="1533"/>
      <c r="AL560" s="1534"/>
      <c r="AM560" s="1439"/>
      <c r="AN560" s="1440"/>
      <c r="AO560" s="1440"/>
      <c r="AP560" s="1440"/>
      <c r="AQ560" s="1440"/>
      <c r="AR560" s="1440"/>
      <c r="AS560" s="1441"/>
      <c r="AT560" s="1192" t="str">
        <f t="shared" ref="AT560:AT565" si="0">IF(AND(NOT(C559=""),C560="",NOT(C561="")),"!","")</f>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465</v>
      </c>
      <c r="C561" s="1535"/>
      <c r="D561" s="1535"/>
      <c r="E561" s="1535"/>
      <c r="F561" s="1535"/>
      <c r="G561" s="1535"/>
      <c r="H561" s="1535"/>
      <c r="I561" s="1535"/>
      <c r="J561" s="1535"/>
      <c r="K561" s="1535"/>
      <c r="L561" s="1535"/>
      <c r="M561" s="1515" t="s">
        <v>1291</v>
      </c>
      <c r="N561" s="1515"/>
      <c r="O561" s="1515"/>
      <c r="P561" s="1515"/>
      <c r="Q561" s="1436"/>
      <c r="R561" s="1437"/>
      <c r="S561" s="1438"/>
      <c r="T561" s="1436"/>
      <c r="U561" s="1437"/>
      <c r="V561" s="1438"/>
      <c r="W561" s="1447"/>
      <c r="X561" s="1448"/>
      <c r="Y561" s="1449"/>
      <c r="Z561" s="1530" t="s">
        <v>1291</v>
      </c>
      <c r="AA561" s="1530"/>
      <c r="AB561" s="1530"/>
      <c r="AC561" s="1530"/>
      <c r="AD561" s="1530"/>
      <c r="AE561" s="1411"/>
      <c r="AF561" s="1412"/>
      <c r="AG561" s="1412"/>
      <c r="AH561" s="1413"/>
      <c r="AI561" s="1532"/>
      <c r="AJ561" s="1533"/>
      <c r="AK561" s="1533"/>
      <c r="AL561" s="1534"/>
      <c r="AM561" s="1439"/>
      <c r="AN561" s="1440"/>
      <c r="AO561" s="1440"/>
      <c r="AP561" s="1440"/>
      <c r="AQ561" s="1440"/>
      <c r="AR561" s="1440"/>
      <c r="AS561" s="1441"/>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470</v>
      </c>
      <c r="C562" s="1535"/>
      <c r="D562" s="1535"/>
      <c r="E562" s="1535"/>
      <c r="F562" s="1535"/>
      <c r="G562" s="1535"/>
      <c r="H562" s="1535"/>
      <c r="I562" s="1535"/>
      <c r="J562" s="1535"/>
      <c r="K562" s="1535"/>
      <c r="L562" s="1535"/>
      <c r="M562" s="1515" t="s">
        <v>1291</v>
      </c>
      <c r="N562" s="1515"/>
      <c r="O562" s="1515"/>
      <c r="P562" s="1515"/>
      <c r="Q562" s="1436"/>
      <c r="R562" s="1437"/>
      <c r="S562" s="1438"/>
      <c r="T562" s="1436"/>
      <c r="U562" s="1437"/>
      <c r="V562" s="1438"/>
      <c r="W562" s="1447"/>
      <c r="X562" s="1448"/>
      <c r="Y562" s="1449"/>
      <c r="Z562" s="1530" t="s">
        <v>1291</v>
      </c>
      <c r="AA562" s="1530"/>
      <c r="AB562" s="1530"/>
      <c r="AC562" s="1530"/>
      <c r="AD562" s="1530"/>
      <c r="AE562" s="1411"/>
      <c r="AF562" s="1412"/>
      <c r="AG562" s="1412"/>
      <c r="AH562" s="1413"/>
      <c r="AI562" s="1532"/>
      <c r="AJ562" s="1533"/>
      <c r="AK562" s="1533"/>
      <c r="AL562" s="1534"/>
      <c r="AM562" s="1439"/>
      <c r="AN562" s="1440"/>
      <c r="AO562" s="1440"/>
      <c r="AP562" s="1440"/>
      <c r="AQ562" s="1440"/>
      <c r="AR562" s="1440"/>
      <c r="AS562" s="1441"/>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655</v>
      </c>
      <c r="C563" s="1535"/>
      <c r="D563" s="1535"/>
      <c r="E563" s="1535"/>
      <c r="F563" s="1535"/>
      <c r="G563" s="1535"/>
      <c r="H563" s="1535"/>
      <c r="I563" s="1535"/>
      <c r="J563" s="1535"/>
      <c r="K563" s="1535"/>
      <c r="L563" s="1535"/>
      <c r="M563" s="1515" t="s">
        <v>1291</v>
      </c>
      <c r="N563" s="1515"/>
      <c r="O563" s="1515"/>
      <c r="P563" s="1515"/>
      <c r="Q563" s="1436"/>
      <c r="R563" s="1437"/>
      <c r="S563" s="1438"/>
      <c r="T563" s="1436"/>
      <c r="U563" s="1437"/>
      <c r="V563" s="1438"/>
      <c r="W563" s="1447"/>
      <c r="X563" s="1448"/>
      <c r="Y563" s="1449"/>
      <c r="Z563" s="1530" t="s">
        <v>1291</v>
      </c>
      <c r="AA563" s="1530"/>
      <c r="AB563" s="1530"/>
      <c r="AC563" s="1530"/>
      <c r="AD563" s="1530"/>
      <c r="AE563" s="1411"/>
      <c r="AF563" s="1412"/>
      <c r="AG563" s="1412"/>
      <c r="AH563" s="1413"/>
      <c r="AI563" s="1532"/>
      <c r="AJ563" s="1533"/>
      <c r="AK563" s="1533"/>
      <c r="AL563" s="1534"/>
      <c r="AM563" s="1439"/>
      <c r="AN563" s="1440"/>
      <c r="AO563" s="1440"/>
      <c r="AP563" s="1440"/>
      <c r="AQ563" s="1440"/>
      <c r="AR563" s="1440"/>
      <c r="AS563" s="1441"/>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535"/>
      <c r="D564" s="1535"/>
      <c r="E564" s="1535"/>
      <c r="F564" s="1535"/>
      <c r="G564" s="1535"/>
      <c r="H564" s="1535"/>
      <c r="I564" s="1535"/>
      <c r="J564" s="1535"/>
      <c r="K564" s="1535"/>
      <c r="L564" s="1535"/>
      <c r="M564" s="1515" t="s">
        <v>1291</v>
      </c>
      <c r="N564" s="1515"/>
      <c r="O564" s="1515"/>
      <c r="P564" s="1515"/>
      <c r="Q564" s="1436"/>
      <c r="R564" s="1437"/>
      <c r="S564" s="1438"/>
      <c r="T564" s="1436"/>
      <c r="U564" s="1437"/>
      <c r="V564" s="1438"/>
      <c r="W564" s="1447"/>
      <c r="X564" s="1448"/>
      <c r="Y564" s="1449"/>
      <c r="Z564" s="1530" t="s">
        <v>1291</v>
      </c>
      <c r="AA564" s="1530"/>
      <c r="AB564" s="1530"/>
      <c r="AC564" s="1530"/>
      <c r="AD564" s="1530"/>
      <c r="AE564" s="1411"/>
      <c r="AF564" s="1412"/>
      <c r="AG564" s="1412"/>
      <c r="AH564" s="1413"/>
      <c r="AI564" s="1532"/>
      <c r="AJ564" s="1533"/>
      <c r="AK564" s="1533"/>
      <c r="AL564" s="1534"/>
      <c r="AM564" s="1439"/>
      <c r="AN564" s="1440"/>
      <c r="AO564" s="1440"/>
      <c r="AP564" s="1440"/>
      <c r="AQ564" s="1440"/>
      <c r="AR564" s="1440"/>
      <c r="AS564" s="1441"/>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535"/>
      <c r="D565" s="1535"/>
      <c r="E565" s="1535"/>
      <c r="F565" s="1535"/>
      <c r="G565" s="1535"/>
      <c r="H565" s="1535"/>
      <c r="I565" s="1535"/>
      <c r="J565" s="1535"/>
      <c r="K565" s="1535"/>
      <c r="L565" s="1535"/>
      <c r="M565" s="1515" t="s">
        <v>1291</v>
      </c>
      <c r="N565" s="1515"/>
      <c r="O565" s="1515"/>
      <c r="P565" s="1515"/>
      <c r="Q565" s="1436"/>
      <c r="R565" s="1437"/>
      <c r="S565" s="1438"/>
      <c r="T565" s="1436"/>
      <c r="U565" s="1437"/>
      <c r="V565" s="1438"/>
      <c r="W565" s="1447"/>
      <c r="X565" s="1448"/>
      <c r="Y565" s="1449"/>
      <c r="Z565" s="1530" t="s">
        <v>1291</v>
      </c>
      <c r="AA565" s="1530"/>
      <c r="AB565" s="1530"/>
      <c r="AC565" s="1530"/>
      <c r="AD565" s="1530"/>
      <c r="AE565" s="1411"/>
      <c r="AF565" s="1412"/>
      <c r="AG565" s="1412"/>
      <c r="AH565" s="1413"/>
      <c r="AI565" s="1532"/>
      <c r="AJ565" s="1533"/>
      <c r="AK565" s="1533"/>
      <c r="AL565" s="1534"/>
      <c r="AM565" s="1439"/>
      <c r="AN565" s="1440"/>
      <c r="AO565" s="1440"/>
      <c r="AP565" s="1440"/>
      <c r="AQ565" s="1440"/>
      <c r="AR565" s="1440"/>
      <c r="AS565" s="1441"/>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625" t="s">
        <v>127</v>
      </c>
      <c r="C566" s="1626"/>
      <c r="D566" s="1626"/>
      <c r="E566" s="1626"/>
      <c r="F566" s="1626"/>
      <c r="G566" s="1626"/>
      <c r="H566" s="1626"/>
      <c r="I566" s="1626"/>
      <c r="J566" s="1626"/>
      <c r="K566" s="1626"/>
      <c r="L566" s="1626"/>
      <c r="M566" s="1626"/>
      <c r="N566" s="1626"/>
      <c r="O566" s="1626"/>
      <c r="P566" s="1626"/>
      <c r="Q566" s="1626"/>
      <c r="R566" s="1626"/>
      <c r="S566" s="1626"/>
      <c r="T566" s="1626"/>
      <c r="U566" s="1704"/>
      <c r="V566" s="1626"/>
      <c r="W566" s="1626"/>
      <c r="X566" s="1626"/>
      <c r="Y566" s="1626"/>
      <c r="Z566" s="1626"/>
      <c r="AA566" s="1626"/>
      <c r="AB566" s="1626"/>
      <c r="AC566" s="1626"/>
      <c r="AD566" s="1626"/>
      <c r="AE566" s="1626"/>
      <c r="AF566" s="1626"/>
      <c r="AG566" s="1626"/>
      <c r="AH566" s="1626"/>
      <c r="AI566" s="1626"/>
      <c r="AJ566" s="1626"/>
      <c r="AK566" s="1626"/>
      <c r="AL566" s="1627"/>
      <c r="AM566" s="1630">
        <f>SUM(AM554:AS565)</f>
        <v>108545328</v>
      </c>
      <c r="AN566" s="1631"/>
      <c r="AO566" s="1631"/>
      <c r="AP566" s="1631"/>
      <c r="AQ566" s="1631"/>
      <c r="AR566" s="1631"/>
      <c r="AS566" s="1632"/>
      <c r="BB566" s="3"/>
      <c r="BC566" s="3"/>
      <c r="BD566" s="3"/>
      <c r="BE566" s="3"/>
      <c r="BF566" s="3"/>
      <c r="BG566" s="3"/>
      <c r="BH566" s="3" t="s">
        <v>464</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472</v>
      </c>
      <c r="G568" s="1536" t="str">
        <f>C554</f>
        <v>Tax- Exempt Construction Loan - Banner Bank</v>
      </c>
      <c r="H568" s="1536"/>
      <c r="I568" s="1536"/>
      <c r="J568" s="1536"/>
      <c r="K568" s="1536"/>
      <c r="L568" s="1536"/>
      <c r="M568" s="1536"/>
      <c r="N568" s="1536"/>
      <c r="O568" s="1536"/>
      <c r="P568" s="1536"/>
      <c r="Q568" s="1536"/>
      <c r="R568" s="1536"/>
      <c r="S568" s="8"/>
      <c r="T568" s="55" t="s">
        <v>113</v>
      </c>
      <c r="U568" t="s">
        <v>472</v>
      </c>
      <c r="Z568" s="1536" t="str">
        <f>C555</f>
        <v>Taxable Construction loan - Banner Bank</v>
      </c>
      <c r="AA568" s="1536"/>
      <c r="AB568" s="1536"/>
      <c r="AC568" s="1536"/>
      <c r="AD568" s="1536"/>
      <c r="AE568" s="1536"/>
      <c r="AF568" s="1536"/>
      <c r="AG568" s="1536"/>
      <c r="AH568" s="1536"/>
      <c r="AI568" s="1536"/>
      <c r="AJ568" s="1536"/>
      <c r="AK568" s="1536"/>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44" t="s">
        <v>2762</v>
      </c>
      <c r="H569" s="1444"/>
      <c r="I569" s="1444"/>
      <c r="J569" s="1444"/>
      <c r="K569" s="1444"/>
      <c r="L569" s="1444"/>
      <c r="M569" s="1444"/>
      <c r="N569" s="1444"/>
      <c r="O569" s="1444"/>
      <c r="P569" s="1444"/>
      <c r="Q569" s="1444"/>
      <c r="R569" s="1444"/>
      <c r="S569" s="8"/>
      <c r="T569" s="22"/>
      <c r="U569" t="s">
        <v>85</v>
      </c>
      <c r="Z569" s="1444" t="s">
        <v>2762</v>
      </c>
      <c r="AA569" s="1444"/>
      <c r="AB569" s="1444"/>
      <c r="AC569" s="1444"/>
      <c r="AD569" s="1444"/>
      <c r="AE569" s="1444"/>
      <c r="AF569" s="1444"/>
      <c r="AG569" s="1444"/>
      <c r="AH569" s="1444"/>
      <c r="AI569" s="1444"/>
      <c r="AJ569" s="1444"/>
      <c r="AK569" s="1444"/>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589</v>
      </c>
      <c r="G570" s="1444" t="s">
        <v>2763</v>
      </c>
      <c r="H570" s="1444"/>
      <c r="I570" s="1444"/>
      <c r="J570" s="1444"/>
      <c r="K570" s="1444"/>
      <c r="L570" s="1444"/>
      <c r="M570" s="1444"/>
      <c r="N570" s="1444"/>
      <c r="O570" s="1444"/>
      <c r="P570" s="1444"/>
      <c r="Q570" s="1444"/>
      <c r="R570" s="1444"/>
      <c r="T570" s="22"/>
      <c r="U570" t="s">
        <v>589</v>
      </c>
      <c r="Z570" s="1446" t="s">
        <v>2763</v>
      </c>
      <c r="AA570" s="1446"/>
      <c r="AB570" s="1446"/>
      <c r="AC570" s="1446"/>
      <c r="AD570" s="1446"/>
      <c r="AE570" s="1446"/>
      <c r="AF570" s="1446"/>
      <c r="AG570" s="1446"/>
      <c r="AH570" s="1446"/>
      <c r="AI570" s="1446"/>
      <c r="AJ570" s="1446"/>
      <c r="AK570" s="1446"/>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44" t="s">
        <v>2764</v>
      </c>
      <c r="H571" s="1444"/>
      <c r="I571" s="1444"/>
      <c r="J571" s="1444"/>
      <c r="K571" s="1444"/>
      <c r="L571" s="1444"/>
      <c r="M571" s="1444"/>
      <c r="N571" s="1444"/>
      <c r="O571" s="1444"/>
      <c r="P571" s="1444"/>
      <c r="Q571" s="1444"/>
      <c r="R571" s="1444"/>
      <c r="S571" s="8"/>
      <c r="T571" s="22"/>
      <c r="U571" t="s">
        <v>17</v>
      </c>
      <c r="Z571" s="1446" t="s">
        <v>2764</v>
      </c>
      <c r="AA571" s="1446"/>
      <c r="AB571" s="1446"/>
      <c r="AC571" s="1446"/>
      <c r="AD571" s="1446"/>
      <c r="AE571" s="1446"/>
      <c r="AF571" s="1446"/>
      <c r="AG571" s="1446"/>
      <c r="AH571" s="1446"/>
      <c r="AI571" s="1446"/>
      <c r="AJ571" s="1446"/>
      <c r="AK571" s="1446"/>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445" t="s">
        <v>2765</v>
      </c>
      <c r="H572" s="1445"/>
      <c r="I572" s="1445"/>
      <c r="J572" s="1445"/>
      <c r="K572" s="1445"/>
      <c r="L572" s="1445"/>
      <c r="O572" s="33" t="s">
        <v>207</v>
      </c>
      <c r="P572" s="1403" t="s">
        <v>600</v>
      </c>
      <c r="Q572" s="1402"/>
      <c r="R572" s="1402"/>
      <c r="S572" s="10"/>
      <c r="T572" s="22"/>
      <c r="U572" t="s">
        <v>317</v>
      </c>
      <c r="Z572" s="1491" t="s">
        <v>2765</v>
      </c>
      <c r="AA572" s="1491"/>
      <c r="AB572" s="1491"/>
      <c r="AC572" s="1491"/>
      <c r="AD572" s="1491"/>
      <c r="AE572" s="1491"/>
      <c r="AH572" s="33" t="s">
        <v>207</v>
      </c>
      <c r="AI572" s="1403" t="s">
        <v>600</v>
      </c>
      <c r="AJ572" s="1402"/>
      <c r="AK572" s="1402"/>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554" t="s">
        <v>2766</v>
      </c>
      <c r="I573" s="1398"/>
      <c r="J573" s="1398"/>
      <c r="K573" s="1398"/>
      <c r="L573" s="1398"/>
      <c r="M573" s="1398"/>
      <c r="N573" s="1398"/>
      <c r="O573" s="1398"/>
      <c r="P573" s="1398"/>
      <c r="Q573" s="1398"/>
      <c r="R573" s="1398"/>
      <c r="S573" s="8"/>
      <c r="T573" s="22"/>
      <c r="U573" t="s">
        <v>18</v>
      </c>
      <c r="AA573" s="1398" t="s">
        <v>2766</v>
      </c>
      <c r="AB573" s="1398"/>
      <c r="AC573" s="1398"/>
      <c r="AD573" s="1398"/>
      <c r="AE573" s="1398"/>
      <c r="AF573" s="1398"/>
      <c r="AG573" s="1398"/>
      <c r="AH573" s="1398"/>
      <c r="AI573" s="1398"/>
      <c r="AJ573" s="1398"/>
      <c r="AK573" s="1398"/>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1292</v>
      </c>
      <c r="H574" s="8"/>
      <c r="I574" s="8"/>
      <c r="J574" s="8"/>
      <c r="K574" s="8"/>
      <c r="L574" s="8"/>
      <c r="M574" s="1591" t="s">
        <v>2767</v>
      </c>
      <c r="N574" s="1592"/>
      <c r="O574" s="1592"/>
      <c r="P574" s="1592"/>
      <c r="Q574" s="1592"/>
      <c r="R574" s="1592"/>
      <c r="S574" s="8"/>
      <c r="T574" s="22"/>
      <c r="U574" s="348" t="s">
        <v>1292</v>
      </c>
      <c r="AA574" s="8"/>
      <c r="AB574" s="8"/>
      <c r="AC574" s="8"/>
      <c r="AD574" s="8"/>
      <c r="AE574" s="8"/>
      <c r="AF574" s="1592" t="s">
        <v>2767</v>
      </c>
      <c r="AG574" s="1592"/>
      <c r="AH574" s="1592"/>
      <c r="AI574" s="1592"/>
      <c r="AJ574" s="1592"/>
      <c r="AK574" s="1592"/>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494" t="s">
        <v>554</v>
      </c>
      <c r="O575" s="1494"/>
      <c r="T575" s="22"/>
      <c r="U575" t="s">
        <v>20</v>
      </c>
      <c r="AG575" s="1494" t="s">
        <v>554</v>
      </c>
      <c r="AH575" s="1494"/>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472</v>
      </c>
      <c r="G577" s="1536" t="str">
        <f>C556</f>
        <v>Tax Credit Equity (Fed + State)</v>
      </c>
      <c r="H577" s="1536"/>
      <c r="I577" s="1536"/>
      <c r="J577" s="1536"/>
      <c r="K577" s="1536"/>
      <c r="L577" s="1536"/>
      <c r="M577" s="1536"/>
      <c r="N577" s="1536"/>
      <c r="O577" s="1536"/>
      <c r="P577" s="1536"/>
      <c r="Q577" s="1536"/>
      <c r="R577" s="1536"/>
      <c r="T577" s="55" t="s">
        <v>590</v>
      </c>
      <c r="U577" t="s">
        <v>472</v>
      </c>
      <c r="Z577" s="1536" t="str">
        <f>C557</f>
        <v>HCD Super NOFA (IIG)</v>
      </c>
      <c r="AA577" s="1536"/>
      <c r="AB577" s="1536"/>
      <c r="AC577" s="1536"/>
      <c r="AD577" s="1536"/>
      <c r="AE577" s="1536"/>
      <c r="AF577" s="1536"/>
      <c r="AG577" s="1536"/>
      <c r="AH577" s="1536"/>
      <c r="AI577" s="1536"/>
      <c r="AJ577" s="1536"/>
      <c r="AK577" s="1536"/>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44" t="s">
        <v>2700</v>
      </c>
      <c r="H578" s="1444"/>
      <c r="I578" s="1444"/>
      <c r="J578" s="1444"/>
      <c r="K578" s="1444"/>
      <c r="L578" s="1444"/>
      <c r="M578" s="1444"/>
      <c r="N578" s="1444"/>
      <c r="O578" s="1444"/>
      <c r="P578" s="1444"/>
      <c r="Q578" s="1444"/>
      <c r="R578" s="1444"/>
      <c r="T578" s="22"/>
      <c r="U578" t="s">
        <v>85</v>
      </c>
      <c r="Z578" s="1444" t="s">
        <v>2769</v>
      </c>
      <c r="AA578" s="1444"/>
      <c r="AB578" s="1444"/>
      <c r="AC578" s="1444"/>
      <c r="AD578" s="1444"/>
      <c r="AE578" s="1444"/>
      <c r="AF578" s="1444"/>
      <c r="AG578" s="1444"/>
      <c r="AH578" s="1444"/>
      <c r="AI578" s="1444"/>
      <c r="AJ578" s="1444"/>
      <c r="AK578" s="1444"/>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589</v>
      </c>
      <c r="G579" s="1446" t="s">
        <v>2701</v>
      </c>
      <c r="H579" s="1446"/>
      <c r="I579" s="1446"/>
      <c r="J579" s="1446"/>
      <c r="K579" s="1446"/>
      <c r="L579" s="1446"/>
      <c r="M579" s="1446"/>
      <c r="N579" s="1446"/>
      <c r="O579" s="1446"/>
      <c r="P579" s="1446"/>
      <c r="Q579" s="1446"/>
      <c r="R579" s="1446"/>
      <c r="T579" s="22"/>
      <c r="U579" t="s">
        <v>589</v>
      </c>
      <c r="Z579" s="1446" t="s">
        <v>2770</v>
      </c>
      <c r="AA579" s="1446"/>
      <c r="AB579" s="1446"/>
      <c r="AC579" s="1446"/>
      <c r="AD579" s="1446"/>
      <c r="AE579" s="1446"/>
      <c r="AF579" s="1446"/>
      <c r="AG579" s="1446"/>
      <c r="AH579" s="1446"/>
      <c r="AI579" s="1446"/>
      <c r="AJ579" s="1446"/>
      <c r="AK579" s="1446"/>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46" t="s">
        <v>2702</v>
      </c>
      <c r="H580" s="1446"/>
      <c r="I580" s="1446"/>
      <c r="J580" s="1446"/>
      <c r="K580" s="1446"/>
      <c r="L580" s="1446"/>
      <c r="M580" s="1446"/>
      <c r="N580" s="1446"/>
      <c r="O580" s="1446"/>
      <c r="P580" s="1446"/>
      <c r="Q580" s="1446"/>
      <c r="R580" s="1446"/>
      <c r="T580" s="22"/>
      <c r="U580" t="s">
        <v>17</v>
      </c>
      <c r="Z580" s="1446" t="s">
        <v>2771</v>
      </c>
      <c r="AA580" s="1446"/>
      <c r="AB580" s="1446"/>
      <c r="AC580" s="1446"/>
      <c r="AD580" s="1446"/>
      <c r="AE580" s="1446"/>
      <c r="AF580" s="1446"/>
      <c r="AG580" s="1446"/>
      <c r="AH580" s="1446"/>
      <c r="AI580" s="1446"/>
      <c r="AJ580" s="1446"/>
      <c r="AK580" s="1446"/>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445" t="s">
        <v>2703</v>
      </c>
      <c r="H581" s="1445"/>
      <c r="I581" s="1445"/>
      <c r="J581" s="1445"/>
      <c r="K581" s="1445"/>
      <c r="L581" s="1445"/>
      <c r="O581" s="33" t="s">
        <v>207</v>
      </c>
      <c r="P581" s="1446" t="s">
        <v>600</v>
      </c>
      <c r="Q581" s="1446"/>
      <c r="R581" s="1446"/>
      <c r="T581" s="22"/>
      <c r="U581" t="s">
        <v>317</v>
      </c>
      <c r="Z581" s="1445" t="s">
        <v>2772</v>
      </c>
      <c r="AA581" s="1445"/>
      <c r="AB581" s="1445"/>
      <c r="AC581" s="1445"/>
      <c r="AD581" s="1445"/>
      <c r="AE581" s="1445"/>
      <c r="AH581" s="33" t="s">
        <v>207</v>
      </c>
      <c r="AI581" s="1446" t="s">
        <v>600</v>
      </c>
      <c r="AJ581" s="1446"/>
      <c r="AK581" s="1446"/>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44" t="s">
        <v>2768</v>
      </c>
      <c r="I582" s="1444"/>
      <c r="J582" s="1444"/>
      <c r="K582" s="1444"/>
      <c r="L582" s="1444"/>
      <c r="M582" s="1444"/>
      <c r="N582" s="1444"/>
      <c r="O582" s="1444"/>
      <c r="P582" s="1444"/>
      <c r="Q582" s="1444"/>
      <c r="R582" s="1444"/>
      <c r="T582" s="22"/>
      <c r="U582" t="s">
        <v>18</v>
      </c>
      <c r="AA582" s="1444" t="s">
        <v>2766</v>
      </c>
      <c r="AB582" s="1444"/>
      <c r="AC582" s="1444"/>
      <c r="AD582" s="1444"/>
      <c r="AE582" s="1444"/>
      <c r="AF582" s="1444"/>
      <c r="AG582" s="1444"/>
      <c r="AH582" s="1444"/>
      <c r="AI582" s="1444"/>
      <c r="AJ582" s="1444"/>
      <c r="AK582" s="1444"/>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494" t="s">
        <v>554</v>
      </c>
      <c r="O583" s="1494"/>
      <c r="T583" s="22"/>
      <c r="U583" t="s">
        <v>20</v>
      </c>
      <c r="AG583" s="1494" t="s">
        <v>554</v>
      </c>
      <c r="AH583" s="1494"/>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773</v>
      </c>
      <c r="B585" t="s">
        <v>472</v>
      </c>
      <c r="G585" s="1536" t="str">
        <f>C558</f>
        <v>County of San Diego HOME</v>
      </c>
      <c r="H585" s="1536"/>
      <c r="I585" s="1536"/>
      <c r="J585" s="1536"/>
      <c r="K585" s="1536"/>
      <c r="L585" s="1536"/>
      <c r="M585" s="1536"/>
      <c r="N585" s="1536"/>
      <c r="O585" s="1536"/>
      <c r="P585" s="1536"/>
      <c r="Q585" s="1536"/>
      <c r="R585" s="1536"/>
      <c r="T585" s="55" t="s">
        <v>593</v>
      </c>
      <c r="U585" t="s">
        <v>472</v>
      </c>
      <c r="Z585" s="1536">
        <f>C559</f>
        <v>0</v>
      </c>
      <c r="AA585" s="1536"/>
      <c r="AB585" s="1536"/>
      <c r="AC585" s="1536"/>
      <c r="AD585" s="1536"/>
      <c r="AE585" s="1536"/>
      <c r="AF585" s="1536"/>
      <c r="AG585" s="1536"/>
      <c r="AH585" s="1536"/>
      <c r="AI585" s="1536"/>
      <c r="AJ585" s="1536"/>
      <c r="AK585" s="1536"/>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44" t="s">
        <v>2773</v>
      </c>
      <c r="H586" s="1444"/>
      <c r="I586" s="1444"/>
      <c r="J586" s="1444"/>
      <c r="K586" s="1444"/>
      <c r="L586" s="1444"/>
      <c r="M586" s="1444"/>
      <c r="N586" s="1444"/>
      <c r="O586" s="1444"/>
      <c r="P586" s="1444"/>
      <c r="Q586" s="1444"/>
      <c r="R586" s="1444"/>
      <c r="T586" s="22"/>
      <c r="U586" t="s">
        <v>85</v>
      </c>
      <c r="Z586" s="1398"/>
      <c r="AA586" s="1398"/>
      <c r="AB586" s="1398"/>
      <c r="AC586" s="1398"/>
      <c r="AD586" s="1398"/>
      <c r="AE586" s="1398"/>
      <c r="AF586" s="1398"/>
      <c r="AG586" s="1398"/>
      <c r="AH586" s="1398"/>
      <c r="AI586" s="1398"/>
      <c r="AJ586" s="1398"/>
      <c r="AK586" s="1398"/>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589</v>
      </c>
      <c r="G587" s="1444" t="s">
        <v>2774</v>
      </c>
      <c r="H587" s="1444"/>
      <c r="I587" s="1444"/>
      <c r="J587" s="1444"/>
      <c r="K587" s="1444"/>
      <c r="L587" s="1444"/>
      <c r="M587" s="1444"/>
      <c r="N587" s="1444"/>
      <c r="O587" s="1444"/>
      <c r="P587" s="1444"/>
      <c r="Q587" s="1444"/>
      <c r="R587" s="1444"/>
      <c r="T587" s="22"/>
      <c r="U587" t="s">
        <v>589</v>
      </c>
      <c r="Z587" s="1404"/>
      <c r="AA587" s="1404"/>
      <c r="AB587" s="1404"/>
      <c r="AC587" s="1404"/>
      <c r="AD587" s="1404"/>
      <c r="AE587" s="1404"/>
      <c r="AF587" s="1404"/>
      <c r="AG587" s="1404"/>
      <c r="AH587" s="1404"/>
      <c r="AI587" s="1404"/>
      <c r="AJ587" s="1404"/>
      <c r="AK587" s="1404"/>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44" t="s">
        <v>2775</v>
      </c>
      <c r="H588" s="1444"/>
      <c r="I588" s="1444"/>
      <c r="J588" s="1444"/>
      <c r="K588" s="1444"/>
      <c r="L588" s="1444"/>
      <c r="M588" s="1444"/>
      <c r="N588" s="1444"/>
      <c r="O588" s="1444"/>
      <c r="P588" s="1444"/>
      <c r="Q588" s="1444"/>
      <c r="R588" s="1444"/>
      <c r="T588" s="22"/>
      <c r="U588" t="s">
        <v>17</v>
      </c>
      <c r="Z588" s="1404"/>
      <c r="AA588" s="1404"/>
      <c r="AB588" s="1404"/>
      <c r="AC588" s="1404"/>
      <c r="AD588" s="1404"/>
      <c r="AE588" s="1404"/>
      <c r="AF588" s="1404"/>
      <c r="AG588" s="1404"/>
      <c r="AH588" s="1404"/>
      <c r="AI588" s="1404"/>
      <c r="AJ588" s="1404"/>
      <c r="AK588" s="1404"/>
    </row>
    <row r="589" spans="1:110" ht="12.95" customHeight="1">
      <c r="A589" s="22"/>
      <c r="B589" t="s">
        <v>317</v>
      </c>
      <c r="G589" s="1445" t="s">
        <v>2776</v>
      </c>
      <c r="H589" s="1445"/>
      <c r="I589" s="1445"/>
      <c r="J589" s="1445"/>
      <c r="K589" s="1445"/>
      <c r="L589" s="1445"/>
      <c r="O589" s="33" t="s">
        <v>207</v>
      </c>
      <c r="P589" s="1403" t="s">
        <v>600</v>
      </c>
      <c r="Q589" s="1402"/>
      <c r="R589" s="1402"/>
      <c r="T589" s="22"/>
      <c r="U589" t="s">
        <v>317</v>
      </c>
      <c r="Z589" s="1491"/>
      <c r="AA589" s="1491"/>
      <c r="AB589" s="1491"/>
      <c r="AC589" s="1491"/>
      <c r="AD589" s="1491"/>
      <c r="AE589" s="1491"/>
      <c r="AH589" s="33" t="s">
        <v>207</v>
      </c>
      <c r="AI589" s="1402"/>
      <c r="AJ589" s="1402"/>
      <c r="AK589" s="1402"/>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44" t="s">
        <v>2777</v>
      </c>
      <c r="I590" s="1444"/>
      <c r="J590" s="1444"/>
      <c r="K590" s="1444"/>
      <c r="L590" s="1444"/>
      <c r="M590" s="1444"/>
      <c r="N590" s="1444"/>
      <c r="O590" s="1444"/>
      <c r="P590" s="1444"/>
      <c r="Q590" s="1444"/>
      <c r="R590" s="1444"/>
      <c r="T590" s="22"/>
      <c r="U590" t="s">
        <v>18</v>
      </c>
      <c r="AA590" s="1398"/>
      <c r="AB590" s="1398"/>
      <c r="AC590" s="1398"/>
      <c r="AD590" s="1398"/>
      <c r="AE590" s="1398"/>
      <c r="AF590" s="1398"/>
      <c r="AG590" s="1398"/>
      <c r="AH590" s="1398"/>
      <c r="AI590" s="1398"/>
      <c r="AJ590" s="1398"/>
      <c r="AK590" s="1398"/>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494" t="s">
        <v>554</v>
      </c>
      <c r="O591" s="1494"/>
      <c r="T591" s="22"/>
      <c r="U591" t="s">
        <v>20</v>
      </c>
      <c r="AG591" s="1494" t="s">
        <v>678</v>
      </c>
      <c r="AH591" s="1494"/>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464</v>
      </c>
      <c r="B593" t="s">
        <v>472</v>
      </c>
      <c r="G593" s="1536">
        <f>C560</f>
        <v>0</v>
      </c>
      <c r="H593" s="1536"/>
      <c r="I593" s="1536"/>
      <c r="J593" s="1536"/>
      <c r="K593" s="1536"/>
      <c r="L593" s="1536"/>
      <c r="M593" s="1536"/>
      <c r="N593" s="1536"/>
      <c r="O593" s="1536"/>
      <c r="P593" s="1536"/>
      <c r="Q593" s="1536"/>
      <c r="R593" s="1536"/>
      <c r="T593" s="55" t="s">
        <v>465</v>
      </c>
      <c r="U593" t="s">
        <v>472</v>
      </c>
      <c r="Z593" s="1536">
        <f>C561</f>
        <v>0</v>
      </c>
      <c r="AA593" s="1536"/>
      <c r="AB593" s="1536"/>
      <c r="AC593" s="1536"/>
      <c r="AD593" s="1536"/>
      <c r="AE593" s="1536"/>
      <c r="AF593" s="1536"/>
      <c r="AG593" s="1536"/>
      <c r="AH593" s="1536"/>
      <c r="AI593" s="1536"/>
      <c r="AJ593" s="1536"/>
      <c r="AK593" s="1536"/>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98"/>
      <c r="H594" s="1398"/>
      <c r="I594" s="1398"/>
      <c r="J594" s="1398"/>
      <c r="K594" s="1398"/>
      <c r="L594" s="1398"/>
      <c r="M594" s="1398"/>
      <c r="N594" s="1398"/>
      <c r="O594" s="1398"/>
      <c r="P594" s="1398"/>
      <c r="Q594" s="1398"/>
      <c r="R594" s="1398"/>
      <c r="S594"/>
      <c r="T594" s="22"/>
      <c r="U594" t="s">
        <v>85</v>
      </c>
      <c r="V594"/>
      <c r="W594"/>
      <c r="X594"/>
      <c r="Y594"/>
      <c r="Z594" s="1398"/>
      <c r="AA594" s="1398"/>
      <c r="AB594" s="1398"/>
      <c r="AC594" s="1398"/>
      <c r="AD594" s="1398"/>
      <c r="AE594" s="1398"/>
      <c r="AF594" s="1398"/>
      <c r="AG594" s="1398"/>
      <c r="AH594" s="1398"/>
      <c r="AI594" s="1398"/>
      <c r="AJ594" s="1398"/>
      <c r="AK594" s="1398"/>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589</v>
      </c>
      <c r="C595"/>
      <c r="D595"/>
      <c r="E595"/>
      <c r="F595"/>
      <c r="G595" s="1398"/>
      <c r="H595" s="1398"/>
      <c r="I595" s="1398"/>
      <c r="J595" s="1398"/>
      <c r="K595" s="1398"/>
      <c r="L595" s="1398"/>
      <c r="M595" s="1398"/>
      <c r="N595" s="1398"/>
      <c r="O595" s="1398"/>
      <c r="P595" s="1398"/>
      <c r="Q595" s="1398"/>
      <c r="R595" s="1398"/>
      <c r="S595"/>
      <c r="T595" s="22"/>
      <c r="U595" t="s">
        <v>589</v>
      </c>
      <c r="V595"/>
      <c r="W595"/>
      <c r="X595"/>
      <c r="Y595"/>
      <c r="Z595" s="1404"/>
      <c r="AA595" s="1404"/>
      <c r="AB595" s="1404"/>
      <c r="AC595" s="1404"/>
      <c r="AD595" s="1404"/>
      <c r="AE595" s="1404"/>
      <c r="AF595" s="1404"/>
      <c r="AG595" s="1404"/>
      <c r="AH595" s="1404"/>
      <c r="AI595" s="1404"/>
      <c r="AJ595" s="1404"/>
      <c r="AK595" s="1404"/>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2034</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98"/>
      <c r="H596" s="1398"/>
      <c r="I596" s="1398"/>
      <c r="J596" s="1398"/>
      <c r="K596" s="1398"/>
      <c r="L596" s="1398"/>
      <c r="M596" s="1398"/>
      <c r="N596" s="1398"/>
      <c r="O596" s="1398"/>
      <c r="P596" s="1398"/>
      <c r="Q596" s="1398"/>
      <c r="R596" s="1398"/>
      <c r="S596"/>
      <c r="T596" s="22"/>
      <c r="U596" t="s">
        <v>17</v>
      </c>
      <c r="V596"/>
      <c r="W596"/>
      <c r="X596"/>
      <c r="Y596"/>
      <c r="Z596" s="1404"/>
      <c r="AA596" s="1404"/>
      <c r="AB596" s="1404"/>
      <c r="AC596" s="1404"/>
      <c r="AD596" s="1404"/>
      <c r="AE596" s="1404"/>
      <c r="AF596" s="1404"/>
      <c r="AG596" s="1404"/>
      <c r="AH596" s="1404"/>
      <c r="AI596" s="1404"/>
      <c r="AJ596" s="1404"/>
      <c r="AK596" s="1404"/>
      <c r="AL596"/>
      <c r="AM596"/>
      <c r="AN596"/>
      <c r="AO596"/>
      <c r="AP596"/>
      <c r="AQ596"/>
      <c r="AR596"/>
      <c r="AS596"/>
      <c r="AT596"/>
      <c r="AU596"/>
      <c r="AV596"/>
      <c r="AW596"/>
      <c r="AX596"/>
      <c r="AY596"/>
      <c r="BA596" s="4" t="s">
        <v>325</v>
      </c>
      <c r="BB596" s="3"/>
      <c r="BC596" s="3"/>
      <c r="BD596" s="3"/>
      <c r="BE596" s="121" t="s">
        <v>483</v>
      </c>
      <c r="BF596" s="122"/>
      <c r="BG596" s="1414"/>
      <c r="BH596" s="1415"/>
      <c r="BI596" s="121" t="s">
        <v>484</v>
      </c>
      <c r="BJ596" s="122"/>
      <c r="BK596" s="1414"/>
      <c r="BL596" s="1415"/>
      <c r="BM596" s="3"/>
      <c r="BN596" s="1541" t="s">
        <v>642</v>
      </c>
      <c r="BO596" s="1542"/>
      <c r="BP596" s="1542"/>
      <c r="BQ596" s="1542"/>
      <c r="BR596" s="1543"/>
      <c r="BS596" s="1531" t="s">
        <v>326</v>
      </c>
      <c r="BT596" s="1531"/>
      <c r="BU596" s="1531"/>
      <c r="BV596" s="1531"/>
      <c r="BW596" s="1531"/>
      <c r="BX596" s="1531" t="s">
        <v>163</v>
      </c>
      <c r="BY596" s="1531"/>
      <c r="BZ596" s="1531"/>
      <c r="CA596" s="1531"/>
      <c r="CB596" s="1531"/>
      <c r="CC596" s="1531" t="s">
        <v>164</v>
      </c>
      <c r="CD596" s="1531"/>
      <c r="CE596" s="1531"/>
      <c r="CF596" s="1531"/>
      <c r="CG596" s="1531"/>
      <c r="CH596" s="1531" t="s">
        <v>469</v>
      </c>
      <c r="CI596" s="1531"/>
      <c r="CJ596" s="1531"/>
      <c r="CK596" s="1531"/>
      <c r="CL596" s="1531"/>
      <c r="CM596" s="1531" t="s">
        <v>30</v>
      </c>
      <c r="CN596" s="1531"/>
      <c r="CO596" s="1531"/>
      <c r="CP596" s="1531"/>
      <c r="CQ596" s="1531"/>
      <c r="CR596" s="89"/>
      <c r="CS596" s="1531" t="s">
        <v>642</v>
      </c>
      <c r="CT596" s="1531"/>
      <c r="CU596" s="1531"/>
      <c r="CV596" s="1531"/>
      <c r="CW596" s="1531"/>
      <c r="CX596" s="1531" t="s">
        <v>326</v>
      </c>
      <c r="CY596" s="1531"/>
      <c r="CZ596" s="1531"/>
      <c r="DA596" s="1531"/>
      <c r="DB596" s="1531"/>
      <c r="DC596" s="1531" t="s">
        <v>163</v>
      </c>
      <c r="DD596" s="1531"/>
      <c r="DE596" s="1531"/>
      <c r="DF596" s="1531"/>
      <c r="DG596" s="1531"/>
      <c r="DH596" s="1531" t="s">
        <v>164</v>
      </c>
      <c r="DI596" s="1531"/>
      <c r="DJ596" s="1531"/>
      <c r="DK596" s="1531"/>
      <c r="DL596" s="1531"/>
      <c r="DM596" s="1531" t="s">
        <v>469</v>
      </c>
      <c r="DN596" s="1531"/>
      <c r="DO596" s="1531"/>
      <c r="DP596" s="1531"/>
      <c r="DQ596" s="1531"/>
      <c r="DR596" s="1531" t="s">
        <v>30</v>
      </c>
      <c r="DS596" s="1531"/>
      <c r="DT596" s="1531"/>
      <c r="DU596" s="1531"/>
      <c r="DV596" s="1531"/>
      <c r="DX596" s="1531" t="s">
        <v>642</v>
      </c>
      <c r="DY596" s="1531"/>
      <c r="DZ596" s="1531"/>
      <c r="EA596" s="1531"/>
      <c r="EB596" s="1531"/>
      <c r="EC596" s="1531" t="s">
        <v>326</v>
      </c>
      <c r="ED596" s="1531"/>
      <c r="EE596" s="1531"/>
      <c r="EF596" s="1531"/>
      <c r="EG596" s="1531"/>
      <c r="EH596" s="1531" t="s">
        <v>163</v>
      </c>
      <c r="EI596" s="1531"/>
      <c r="EJ596" s="1531"/>
      <c r="EK596" s="1531"/>
      <c r="EL596" s="1531"/>
      <c r="EM596" s="1531" t="s">
        <v>164</v>
      </c>
      <c r="EN596" s="1531"/>
      <c r="EO596" s="1531"/>
      <c r="EP596" s="1531"/>
      <c r="EQ596" s="1531"/>
      <c r="ER596" s="1531" t="s">
        <v>469</v>
      </c>
      <c r="ES596" s="1531"/>
      <c r="ET596" s="1531"/>
      <c r="EU596" s="1531"/>
      <c r="EV596" s="1531"/>
      <c r="EW596" s="1531" t="s">
        <v>30</v>
      </c>
      <c r="EX596" s="1531"/>
      <c r="EY596" s="1531"/>
      <c r="EZ596" s="1531"/>
      <c r="FA596" s="1531"/>
    </row>
    <row r="597" spans="1:157" s="4" customFormat="1" ht="12.95" customHeight="1">
      <c r="A597" s="22"/>
      <c r="B597" t="s">
        <v>317</v>
      </c>
      <c r="C597"/>
      <c r="D597"/>
      <c r="E597"/>
      <c r="F597"/>
      <c r="G597" s="1491"/>
      <c r="H597" s="1491"/>
      <c r="I597" s="1491"/>
      <c r="J597" s="1491"/>
      <c r="K597" s="1491"/>
      <c r="L597" s="1491"/>
      <c r="M597"/>
      <c r="N597"/>
      <c r="O597" s="33" t="s">
        <v>207</v>
      </c>
      <c r="P597" s="1402"/>
      <c r="Q597" s="1402"/>
      <c r="R597" s="1402"/>
      <c r="S597"/>
      <c r="T597" s="22"/>
      <c r="U597" t="s">
        <v>317</v>
      </c>
      <c r="V597"/>
      <c r="W597"/>
      <c r="X597"/>
      <c r="Y597"/>
      <c r="Z597" s="1491"/>
      <c r="AA597" s="1491"/>
      <c r="AB597" s="1491"/>
      <c r="AC597" s="1491"/>
      <c r="AD597" s="1491"/>
      <c r="AE597" s="1491"/>
      <c r="AF597"/>
      <c r="AG597"/>
      <c r="AH597" s="33" t="s">
        <v>207</v>
      </c>
      <c r="AI597" s="1402"/>
      <c r="AJ597" s="1402"/>
      <c r="AK597" s="1402"/>
      <c r="AL597"/>
      <c r="AM597"/>
      <c r="AN597"/>
      <c r="AO597"/>
      <c r="AP597"/>
      <c r="AQ597"/>
      <c r="AR597"/>
      <c r="AS597"/>
      <c r="AT597"/>
      <c r="AU597"/>
      <c r="AV597"/>
      <c r="AW597"/>
      <c r="AX597"/>
      <c r="AY597"/>
      <c r="BA597" s="4" t="s">
        <v>326</v>
      </c>
      <c r="BB597" s="3"/>
      <c r="BC597" s="3"/>
      <c r="BD597" s="3"/>
      <c r="BE597" s="1395">
        <f t="shared" ref="BE597:BE631" si="1">IF(AND(AC718&lt;=0.5,AC718&gt;=0.36),1,0)</f>
        <v>0</v>
      </c>
      <c r="BF597" s="1397"/>
      <c r="BG597" s="1414">
        <f t="shared" ref="BG597:BG631" si="2">IF(BE597=1,G718,0)</f>
        <v>0</v>
      </c>
      <c r="BH597" s="1415"/>
      <c r="BI597" s="1395">
        <f t="shared" ref="BI597:BI631" si="3">IF(AND(AC718&lt;=0.35,AC718&gt;0),1,0)</f>
        <v>1</v>
      </c>
      <c r="BJ597" s="1397"/>
      <c r="BK597" s="1414">
        <f t="shared" ref="BK597:BK631" si="4">IF(BI597=1,G718,0)</f>
        <v>7</v>
      </c>
      <c r="BL597" s="1415"/>
      <c r="BM597" s="3"/>
      <c r="BN597" s="1406">
        <f t="shared" ref="BN597:BN631" si="5">IF(B718="SRO/Studio",G718,0)</f>
        <v>7</v>
      </c>
      <c r="BO597" s="1407"/>
      <c r="BP597" s="1407"/>
      <c r="BQ597" s="1407"/>
      <c r="BR597" s="1408"/>
      <c r="BS597" s="1409">
        <f t="shared" ref="BS597:BS631" si="6">IF(B718="1 Bedroom",G718,0)</f>
        <v>0</v>
      </c>
      <c r="BT597" s="1409"/>
      <c r="BU597" s="1409"/>
      <c r="BV597" s="1409"/>
      <c r="BW597" s="1409"/>
      <c r="BX597" s="1409">
        <f t="shared" ref="BX597:BX631" si="7">IF(B718="2 Bedrooms",G718,0)</f>
        <v>0</v>
      </c>
      <c r="BY597" s="1409"/>
      <c r="BZ597" s="1409"/>
      <c r="CA597" s="1409"/>
      <c r="CB597" s="1409"/>
      <c r="CC597" s="1409">
        <f t="shared" ref="CC597:CC631" si="8">IF(B718="3 Bedrooms",G718,0)</f>
        <v>0</v>
      </c>
      <c r="CD597" s="1409"/>
      <c r="CE597" s="1409"/>
      <c r="CF597" s="1409"/>
      <c r="CG597" s="1409"/>
      <c r="CH597" s="1409">
        <f t="shared" ref="CH597:CH631" si="9">IF(B718="4 Bedrooms",G718,0)</f>
        <v>0</v>
      </c>
      <c r="CI597" s="1409"/>
      <c r="CJ597" s="1409"/>
      <c r="CK597" s="1409"/>
      <c r="CL597" s="1409"/>
      <c r="CM597" s="1409">
        <f t="shared" ref="CM597:CM631" si="10">IF(B718="5 Bedrooms",G718,0)</f>
        <v>0</v>
      </c>
      <c r="CN597" s="1409"/>
      <c r="CO597" s="1409"/>
      <c r="CP597" s="1409"/>
      <c r="CQ597" s="1409"/>
      <c r="CR597" s="6"/>
      <c r="CS597" s="1405">
        <f t="shared" ref="CS597:CS631" si="11">IF(AND(B718="SRO/Studio",AC718&lt;=0.3),G718,0)</f>
        <v>7</v>
      </c>
      <c r="CT597" s="1405"/>
      <c r="CU597" s="1405"/>
      <c r="CV597" s="1405"/>
      <c r="CW597" s="1405"/>
      <c r="CX597" s="1405">
        <f t="shared" ref="CX597:CX631" si="12">IF(AND(B718="1 Bedroom",AC718&lt;=0.3),G718,0)</f>
        <v>0</v>
      </c>
      <c r="CY597" s="1405"/>
      <c r="CZ597" s="1405"/>
      <c r="DA597" s="1405"/>
      <c r="DB597" s="1405"/>
      <c r="DC597" s="1405">
        <f t="shared" ref="DC597:DC631" si="13">IF(AND(B718="2 Bedrooms",AC718&lt;=0.3),G718,0)</f>
        <v>0</v>
      </c>
      <c r="DD597" s="1405"/>
      <c r="DE597" s="1405"/>
      <c r="DF597" s="1405"/>
      <c r="DG597" s="1405"/>
      <c r="DH597" s="1405">
        <f t="shared" ref="DH597:DH631" si="14">IF(AND(B718="3 Bedrooms",AC718&lt;=0.3),G718,0)</f>
        <v>0</v>
      </c>
      <c r="DI597" s="1405"/>
      <c r="DJ597" s="1405"/>
      <c r="DK597" s="1405"/>
      <c r="DL597" s="1405"/>
      <c r="DM597" s="1405">
        <f t="shared" ref="DM597:DM631" si="15">IF(AND(B718="4 Bedrooms",AC718&lt;=0.3),G718,0)</f>
        <v>0</v>
      </c>
      <c r="DN597" s="1405"/>
      <c r="DO597" s="1405"/>
      <c r="DP597" s="1405"/>
      <c r="DQ597" s="1405"/>
      <c r="DR597" s="1405">
        <f t="shared" ref="DR597:DR631" si="16">IF(AND(B718="5 Bedrooms",AC718&lt;=0.3),G718,0)</f>
        <v>0</v>
      </c>
      <c r="DS597" s="1405"/>
      <c r="DT597" s="1405"/>
      <c r="DU597" s="1405"/>
      <c r="DV597" s="1405"/>
      <c r="DX597" s="1395">
        <f t="shared" ref="DX597:DX631" si="17">IF(BN597&gt;0,O718,"")</f>
        <v>783</v>
      </c>
      <c r="DY597" s="1396"/>
      <c r="DZ597" s="1396"/>
      <c r="EA597" s="1396"/>
      <c r="EB597" s="1397"/>
      <c r="EC597" s="1395" t="str">
        <f t="shared" ref="EC597:EC631" si="18">IF(BS597&gt;0,O718,"")</f>
        <v/>
      </c>
      <c r="ED597" s="1396"/>
      <c r="EE597" s="1396"/>
      <c r="EF597" s="1396"/>
      <c r="EG597" s="1397"/>
      <c r="EH597" s="1395" t="str">
        <f t="shared" ref="EH597:EH631" si="19">IF(BX597&gt;0,O718,"")</f>
        <v/>
      </c>
      <c r="EI597" s="1396"/>
      <c r="EJ597" s="1396"/>
      <c r="EK597" s="1396"/>
      <c r="EL597" s="1397"/>
      <c r="EM597" s="1395" t="str">
        <f t="shared" ref="EM597:EM631" si="20">IF(CC597&gt;0,O718,"")</f>
        <v/>
      </c>
      <c r="EN597" s="1396"/>
      <c r="EO597" s="1396"/>
      <c r="EP597" s="1396"/>
      <c r="EQ597" s="1397"/>
      <c r="ER597" s="1395" t="str">
        <f t="shared" ref="ER597:ER631" si="21">IF(CH597&gt;0,O718,"")</f>
        <v/>
      </c>
      <c r="ES597" s="1396"/>
      <c r="ET597" s="1396"/>
      <c r="EU597" s="1396"/>
      <c r="EV597" s="1397"/>
      <c r="EW597" s="1395" t="str">
        <f t="shared" ref="EW597:EW631" si="22">IF(CM597&gt;0,O718,"")</f>
        <v/>
      </c>
      <c r="EX597" s="1396"/>
      <c r="EY597" s="1396"/>
      <c r="EZ597" s="1396"/>
      <c r="FA597" s="1397"/>
    </row>
    <row r="598" spans="1:157" s="4" customFormat="1" ht="12.95" customHeight="1">
      <c r="A598" s="22"/>
      <c r="B598" t="s">
        <v>18</v>
      </c>
      <c r="C598"/>
      <c r="D598"/>
      <c r="E598"/>
      <c r="F598"/>
      <c r="G598"/>
      <c r="H598" s="1398"/>
      <c r="I598" s="1398"/>
      <c r="J598" s="1398"/>
      <c r="K598" s="1398"/>
      <c r="L598" s="1398"/>
      <c r="M598" s="1398"/>
      <c r="N598" s="1398"/>
      <c r="O598" s="1398"/>
      <c r="P598" s="1398"/>
      <c r="Q598" s="1398"/>
      <c r="R598" s="1398"/>
      <c r="S598"/>
      <c r="T598" s="22"/>
      <c r="U598" t="s">
        <v>18</v>
      </c>
      <c r="V598"/>
      <c r="W598"/>
      <c r="X598"/>
      <c r="Y598"/>
      <c r="Z598"/>
      <c r="AA598" s="1398"/>
      <c r="AB598" s="1398"/>
      <c r="AC598" s="1398"/>
      <c r="AD598" s="1398"/>
      <c r="AE598" s="1398"/>
      <c r="AF598" s="1398"/>
      <c r="AG598" s="1398"/>
      <c r="AH598" s="1398"/>
      <c r="AI598" s="1398"/>
      <c r="AJ598" s="1398"/>
      <c r="AK598" s="1398"/>
      <c r="AL598"/>
      <c r="AM598"/>
      <c r="AN598"/>
      <c r="AO598"/>
      <c r="AP598"/>
      <c r="AQ598"/>
      <c r="AR598"/>
      <c r="AS598"/>
      <c r="AT598"/>
      <c r="AU598"/>
      <c r="AV598"/>
      <c r="AW598"/>
      <c r="AX598"/>
      <c r="AY598"/>
      <c r="BA598" s="4" t="s">
        <v>163</v>
      </c>
      <c r="BB598" s="3"/>
      <c r="BC598" s="3"/>
      <c r="BD598" s="3"/>
      <c r="BE598" s="1395">
        <f t="shared" si="1"/>
        <v>0</v>
      </c>
      <c r="BF598" s="1397"/>
      <c r="BG598" s="1414">
        <f t="shared" si="2"/>
        <v>0</v>
      </c>
      <c r="BH598" s="1415"/>
      <c r="BI598" s="1395">
        <f t="shared" si="3"/>
        <v>1</v>
      </c>
      <c r="BJ598" s="1397"/>
      <c r="BK598" s="1414">
        <f t="shared" si="4"/>
        <v>2</v>
      </c>
      <c r="BL598" s="1415"/>
      <c r="BM598" s="3"/>
      <c r="BN598" s="1406">
        <f t="shared" si="5"/>
        <v>2</v>
      </c>
      <c r="BO598" s="1407"/>
      <c r="BP598" s="1407"/>
      <c r="BQ598" s="1407"/>
      <c r="BR598" s="1408"/>
      <c r="BS598" s="1409">
        <f t="shared" si="6"/>
        <v>0</v>
      </c>
      <c r="BT598" s="1409"/>
      <c r="BU598" s="1409"/>
      <c r="BV598" s="1409"/>
      <c r="BW598" s="1409"/>
      <c r="BX598" s="1409">
        <f t="shared" si="7"/>
        <v>0</v>
      </c>
      <c r="BY598" s="1409"/>
      <c r="BZ598" s="1409"/>
      <c r="CA598" s="1409"/>
      <c r="CB598" s="1409"/>
      <c r="CC598" s="1409">
        <f t="shared" si="8"/>
        <v>0</v>
      </c>
      <c r="CD598" s="1409"/>
      <c r="CE598" s="1409"/>
      <c r="CF598" s="1409"/>
      <c r="CG598" s="1409"/>
      <c r="CH598" s="1409">
        <f t="shared" si="9"/>
        <v>0</v>
      </c>
      <c r="CI598" s="1409"/>
      <c r="CJ598" s="1409"/>
      <c r="CK598" s="1409"/>
      <c r="CL598" s="1409"/>
      <c r="CM598" s="1409">
        <f t="shared" si="10"/>
        <v>0</v>
      </c>
      <c r="CN598" s="1409"/>
      <c r="CO598" s="1409"/>
      <c r="CP598" s="1409"/>
      <c r="CQ598" s="1409"/>
      <c r="CR598" s="6"/>
      <c r="CS598" s="1405">
        <f t="shared" si="11"/>
        <v>2</v>
      </c>
      <c r="CT598" s="1405"/>
      <c r="CU598" s="1405"/>
      <c r="CV598" s="1405"/>
      <c r="CW598" s="1405"/>
      <c r="CX598" s="1405">
        <f t="shared" si="12"/>
        <v>0</v>
      </c>
      <c r="CY598" s="1405"/>
      <c r="CZ598" s="1405"/>
      <c r="DA598" s="1405"/>
      <c r="DB598" s="1405"/>
      <c r="DC598" s="1405">
        <f t="shared" si="13"/>
        <v>0</v>
      </c>
      <c r="DD598" s="1405"/>
      <c r="DE598" s="1405"/>
      <c r="DF598" s="1405"/>
      <c r="DG598" s="1405"/>
      <c r="DH598" s="1405">
        <f t="shared" si="14"/>
        <v>0</v>
      </c>
      <c r="DI598" s="1405"/>
      <c r="DJ598" s="1405"/>
      <c r="DK598" s="1405"/>
      <c r="DL598" s="1405"/>
      <c r="DM598" s="1405">
        <f t="shared" si="15"/>
        <v>0</v>
      </c>
      <c r="DN598" s="1405"/>
      <c r="DO598" s="1405"/>
      <c r="DP598" s="1405"/>
      <c r="DQ598" s="1405"/>
      <c r="DR598" s="1405">
        <f t="shared" si="16"/>
        <v>0</v>
      </c>
      <c r="DS598" s="1405"/>
      <c r="DT598" s="1405"/>
      <c r="DU598" s="1405"/>
      <c r="DV598" s="1405"/>
      <c r="DX598" s="1395">
        <f t="shared" si="17"/>
        <v>783</v>
      </c>
      <c r="DY598" s="1396"/>
      <c r="DZ598" s="1396"/>
      <c r="EA598" s="1396"/>
      <c r="EB598" s="1397"/>
      <c r="EC598" s="1395" t="str">
        <f t="shared" si="18"/>
        <v/>
      </c>
      <c r="ED598" s="1396"/>
      <c r="EE598" s="1396"/>
      <c r="EF598" s="1396"/>
      <c r="EG598" s="1397"/>
      <c r="EH598" s="1395" t="str">
        <f t="shared" si="19"/>
        <v/>
      </c>
      <c r="EI598" s="1396"/>
      <c r="EJ598" s="1396"/>
      <c r="EK598" s="1396"/>
      <c r="EL598" s="1397"/>
      <c r="EM598" s="1395" t="str">
        <f t="shared" si="20"/>
        <v/>
      </c>
      <c r="EN598" s="1396"/>
      <c r="EO598" s="1396"/>
      <c r="EP598" s="1396"/>
      <c r="EQ598" s="1397"/>
      <c r="ER598" s="1395" t="str">
        <f t="shared" si="21"/>
        <v/>
      </c>
      <c r="ES598" s="1396"/>
      <c r="ET598" s="1396"/>
      <c r="EU598" s="1396"/>
      <c r="EV598" s="1397"/>
      <c r="EW598" s="1395" t="str">
        <f t="shared" si="22"/>
        <v/>
      </c>
      <c r="EX598" s="1396"/>
      <c r="EY598" s="1396"/>
      <c r="EZ598" s="1396"/>
      <c r="FA598" s="1397"/>
    </row>
    <row r="599" spans="1:157" ht="12.95" customHeight="1">
      <c r="A599" s="22"/>
      <c r="B599" t="s">
        <v>20</v>
      </c>
      <c r="N599" s="1494" t="s">
        <v>678</v>
      </c>
      <c r="O599" s="1494"/>
      <c r="T599" s="22"/>
      <c r="U599" t="s">
        <v>20</v>
      </c>
      <c r="AG599" s="1494" t="s">
        <v>678</v>
      </c>
      <c r="AH599" s="1494"/>
      <c r="BA599" s="4" t="s">
        <v>164</v>
      </c>
      <c r="BB599" s="3"/>
      <c r="BC599" s="3"/>
      <c r="BD599" s="3"/>
      <c r="BE599" s="1395">
        <f t="shared" si="1"/>
        <v>1</v>
      </c>
      <c r="BF599" s="1397"/>
      <c r="BG599" s="1414">
        <f t="shared" si="2"/>
        <v>15</v>
      </c>
      <c r="BH599" s="1415"/>
      <c r="BI599" s="1395">
        <f t="shared" si="3"/>
        <v>0</v>
      </c>
      <c r="BJ599" s="1397"/>
      <c r="BK599" s="1414">
        <f t="shared" si="4"/>
        <v>0</v>
      </c>
      <c r="BL599" s="1415"/>
      <c r="BM599" s="3"/>
      <c r="BN599" s="1406">
        <f t="shared" si="5"/>
        <v>15</v>
      </c>
      <c r="BO599" s="1407"/>
      <c r="BP599" s="1407"/>
      <c r="BQ599" s="1407"/>
      <c r="BR599" s="1408"/>
      <c r="BS599" s="1409">
        <f t="shared" si="6"/>
        <v>0</v>
      </c>
      <c r="BT599" s="1409"/>
      <c r="BU599" s="1409"/>
      <c r="BV599" s="1409"/>
      <c r="BW599" s="1409"/>
      <c r="BX599" s="1409">
        <f t="shared" si="7"/>
        <v>0</v>
      </c>
      <c r="BY599" s="1409"/>
      <c r="BZ599" s="1409"/>
      <c r="CA599" s="1409"/>
      <c r="CB599" s="1409"/>
      <c r="CC599" s="1409">
        <f t="shared" si="8"/>
        <v>0</v>
      </c>
      <c r="CD599" s="1409"/>
      <c r="CE599" s="1409"/>
      <c r="CF599" s="1409"/>
      <c r="CG599" s="1409"/>
      <c r="CH599" s="1409">
        <f t="shared" si="9"/>
        <v>0</v>
      </c>
      <c r="CI599" s="1409"/>
      <c r="CJ599" s="1409"/>
      <c r="CK599" s="1409"/>
      <c r="CL599" s="1409"/>
      <c r="CM599" s="1409">
        <f t="shared" si="10"/>
        <v>0</v>
      </c>
      <c r="CN599" s="1409"/>
      <c r="CO599" s="1409"/>
      <c r="CP599" s="1409"/>
      <c r="CQ599" s="1409"/>
      <c r="CR599" s="6"/>
      <c r="CS599" s="1405">
        <f t="shared" si="11"/>
        <v>0</v>
      </c>
      <c r="CT599" s="1405"/>
      <c r="CU599" s="1405"/>
      <c r="CV599" s="1405"/>
      <c r="CW599" s="1405"/>
      <c r="CX599" s="1405">
        <f t="shared" si="12"/>
        <v>0</v>
      </c>
      <c r="CY599" s="1405"/>
      <c r="CZ599" s="1405"/>
      <c r="DA599" s="1405"/>
      <c r="DB599" s="1405"/>
      <c r="DC599" s="1405">
        <f t="shared" si="13"/>
        <v>0</v>
      </c>
      <c r="DD599" s="1405"/>
      <c r="DE599" s="1405"/>
      <c r="DF599" s="1405"/>
      <c r="DG599" s="1405"/>
      <c r="DH599" s="1405">
        <f t="shared" si="14"/>
        <v>0</v>
      </c>
      <c r="DI599" s="1405"/>
      <c r="DJ599" s="1405"/>
      <c r="DK599" s="1405"/>
      <c r="DL599" s="1405"/>
      <c r="DM599" s="1405">
        <f t="shared" si="15"/>
        <v>0</v>
      </c>
      <c r="DN599" s="1405"/>
      <c r="DO599" s="1405"/>
      <c r="DP599" s="1405"/>
      <c r="DQ599" s="1405"/>
      <c r="DR599" s="1405">
        <f t="shared" si="16"/>
        <v>0</v>
      </c>
      <c r="DS599" s="1405"/>
      <c r="DT599" s="1405"/>
      <c r="DU599" s="1405"/>
      <c r="DV599" s="1405"/>
      <c r="DX599" s="1395">
        <f t="shared" si="17"/>
        <v>1314</v>
      </c>
      <c r="DY599" s="1396"/>
      <c r="DZ599" s="1396"/>
      <c r="EA599" s="1396"/>
      <c r="EB599" s="1397"/>
      <c r="EC599" s="1395" t="str">
        <f t="shared" si="18"/>
        <v/>
      </c>
      <c r="ED599" s="1396"/>
      <c r="EE599" s="1396"/>
      <c r="EF599" s="1396"/>
      <c r="EG599" s="1397"/>
      <c r="EH599" s="1395" t="str">
        <f t="shared" si="19"/>
        <v/>
      </c>
      <c r="EI599" s="1396"/>
      <c r="EJ599" s="1396"/>
      <c r="EK599" s="1396"/>
      <c r="EL599" s="1397"/>
      <c r="EM599" s="1395" t="str">
        <f t="shared" si="20"/>
        <v/>
      </c>
      <c r="EN599" s="1396"/>
      <c r="EO599" s="1396"/>
      <c r="EP599" s="1396"/>
      <c r="EQ599" s="1397"/>
      <c r="ER599" s="1395" t="str">
        <f t="shared" si="21"/>
        <v/>
      </c>
      <c r="ES599" s="1396"/>
      <c r="ET599" s="1396"/>
      <c r="EU599" s="1396"/>
      <c r="EV599" s="1397"/>
      <c r="EW599" s="1395" t="str">
        <f t="shared" si="22"/>
        <v/>
      </c>
      <c r="EX599" s="1396"/>
      <c r="EY599" s="1396"/>
      <c r="EZ599" s="1396"/>
      <c r="FA599" s="1397"/>
    </row>
    <row r="600" spans="1:157" ht="12.95" customHeight="1">
      <c r="A600" s="22"/>
      <c r="T600" s="22"/>
      <c r="BA600" s="4" t="s">
        <v>165</v>
      </c>
      <c r="BB600" s="3"/>
      <c r="BC600" s="3"/>
      <c r="BD600" s="3"/>
      <c r="BE600" s="1395">
        <f t="shared" si="1"/>
        <v>0</v>
      </c>
      <c r="BF600" s="1397"/>
      <c r="BG600" s="1414">
        <f t="shared" si="2"/>
        <v>0</v>
      </c>
      <c r="BH600" s="1415"/>
      <c r="BI600" s="1395">
        <f t="shared" si="3"/>
        <v>1</v>
      </c>
      <c r="BJ600" s="1397"/>
      <c r="BK600" s="1414">
        <f t="shared" si="4"/>
        <v>12</v>
      </c>
      <c r="BL600" s="1415"/>
      <c r="BM600" s="3"/>
      <c r="BN600" s="1406">
        <f t="shared" si="5"/>
        <v>0</v>
      </c>
      <c r="BO600" s="1407"/>
      <c r="BP600" s="1407"/>
      <c r="BQ600" s="1407"/>
      <c r="BR600" s="1408"/>
      <c r="BS600" s="1409">
        <f t="shared" si="6"/>
        <v>12</v>
      </c>
      <c r="BT600" s="1409"/>
      <c r="BU600" s="1409"/>
      <c r="BV600" s="1409"/>
      <c r="BW600" s="1409"/>
      <c r="BX600" s="1409">
        <f t="shared" si="7"/>
        <v>0</v>
      </c>
      <c r="BY600" s="1409"/>
      <c r="BZ600" s="1409"/>
      <c r="CA600" s="1409"/>
      <c r="CB600" s="1409"/>
      <c r="CC600" s="1409">
        <f t="shared" si="8"/>
        <v>0</v>
      </c>
      <c r="CD600" s="1409"/>
      <c r="CE600" s="1409"/>
      <c r="CF600" s="1409"/>
      <c r="CG600" s="1409"/>
      <c r="CH600" s="1409">
        <f t="shared" si="9"/>
        <v>0</v>
      </c>
      <c r="CI600" s="1409"/>
      <c r="CJ600" s="1409"/>
      <c r="CK600" s="1409"/>
      <c r="CL600" s="1409"/>
      <c r="CM600" s="1409">
        <f t="shared" si="10"/>
        <v>0</v>
      </c>
      <c r="CN600" s="1409"/>
      <c r="CO600" s="1409"/>
      <c r="CP600" s="1409"/>
      <c r="CQ600" s="1409"/>
      <c r="CR600" s="6"/>
      <c r="CS600" s="1405">
        <f t="shared" si="11"/>
        <v>0</v>
      </c>
      <c r="CT600" s="1405"/>
      <c r="CU600" s="1405"/>
      <c r="CV600" s="1405"/>
      <c r="CW600" s="1405"/>
      <c r="CX600" s="1405">
        <f t="shared" si="12"/>
        <v>12</v>
      </c>
      <c r="CY600" s="1405"/>
      <c r="CZ600" s="1405"/>
      <c r="DA600" s="1405"/>
      <c r="DB600" s="1405"/>
      <c r="DC600" s="1405">
        <f t="shared" si="13"/>
        <v>0</v>
      </c>
      <c r="DD600" s="1405"/>
      <c r="DE600" s="1405"/>
      <c r="DF600" s="1405"/>
      <c r="DG600" s="1405"/>
      <c r="DH600" s="1405">
        <f t="shared" si="14"/>
        <v>0</v>
      </c>
      <c r="DI600" s="1405"/>
      <c r="DJ600" s="1405"/>
      <c r="DK600" s="1405"/>
      <c r="DL600" s="1405"/>
      <c r="DM600" s="1405">
        <f t="shared" si="15"/>
        <v>0</v>
      </c>
      <c r="DN600" s="1405"/>
      <c r="DO600" s="1405"/>
      <c r="DP600" s="1405"/>
      <c r="DQ600" s="1405"/>
      <c r="DR600" s="1405">
        <f t="shared" si="16"/>
        <v>0</v>
      </c>
      <c r="DS600" s="1405"/>
      <c r="DT600" s="1405"/>
      <c r="DU600" s="1405"/>
      <c r="DV600" s="1405"/>
      <c r="DX600" s="1395" t="str">
        <f t="shared" si="17"/>
        <v/>
      </c>
      <c r="DY600" s="1396"/>
      <c r="DZ600" s="1396"/>
      <c r="EA600" s="1396"/>
      <c r="EB600" s="1397"/>
      <c r="EC600" s="1395">
        <f t="shared" si="18"/>
        <v>840</v>
      </c>
      <c r="ED600" s="1396"/>
      <c r="EE600" s="1396"/>
      <c r="EF600" s="1396"/>
      <c r="EG600" s="1397"/>
      <c r="EH600" s="1395" t="str">
        <f t="shared" si="19"/>
        <v/>
      </c>
      <c r="EI600" s="1396"/>
      <c r="EJ600" s="1396"/>
      <c r="EK600" s="1396"/>
      <c r="EL600" s="1397"/>
      <c r="EM600" s="1395" t="str">
        <f t="shared" si="20"/>
        <v/>
      </c>
      <c r="EN600" s="1396"/>
      <c r="EO600" s="1396"/>
      <c r="EP600" s="1396"/>
      <c r="EQ600" s="1397"/>
      <c r="ER600" s="1395" t="str">
        <f t="shared" si="21"/>
        <v/>
      </c>
      <c r="ES600" s="1396"/>
      <c r="ET600" s="1396"/>
      <c r="EU600" s="1396"/>
      <c r="EV600" s="1397"/>
      <c r="EW600" s="1395" t="str">
        <f t="shared" si="22"/>
        <v/>
      </c>
      <c r="EX600" s="1396"/>
      <c r="EY600" s="1396"/>
      <c r="EZ600" s="1396"/>
      <c r="FA600" s="1397"/>
    </row>
    <row r="601" spans="1:157" ht="12.95" customHeight="1">
      <c r="A601" s="55" t="s">
        <v>470</v>
      </c>
      <c r="B601" t="s">
        <v>472</v>
      </c>
      <c r="G601" s="1536">
        <f>C562</f>
        <v>0</v>
      </c>
      <c r="H601" s="1536"/>
      <c r="I601" s="1536"/>
      <c r="J601" s="1536"/>
      <c r="K601" s="1536"/>
      <c r="L601" s="1536"/>
      <c r="M601" s="1536"/>
      <c r="N601" s="1536"/>
      <c r="O601" s="1536"/>
      <c r="P601" s="1536"/>
      <c r="Q601" s="1536"/>
      <c r="R601" s="1536"/>
      <c r="T601" s="55" t="s">
        <v>655</v>
      </c>
      <c r="U601" t="s">
        <v>472</v>
      </c>
      <c r="Z601" s="1536">
        <f>C563</f>
        <v>0</v>
      </c>
      <c r="AA601" s="1536"/>
      <c r="AB601" s="1536"/>
      <c r="AC601" s="1536"/>
      <c r="AD601" s="1536"/>
      <c r="AE601" s="1536"/>
      <c r="AF601" s="1536"/>
      <c r="AG601" s="1536"/>
      <c r="AH601" s="1536"/>
      <c r="AI601" s="1536"/>
      <c r="AJ601" s="1536"/>
      <c r="AK601" s="1536"/>
      <c r="BA601" s="4" t="s">
        <v>30</v>
      </c>
      <c r="BB601" s="3"/>
      <c r="BC601" s="3"/>
      <c r="BD601" s="3"/>
      <c r="BE601" s="1395">
        <f t="shared" si="1"/>
        <v>0</v>
      </c>
      <c r="BF601" s="1397"/>
      <c r="BG601" s="1414">
        <f t="shared" si="2"/>
        <v>0</v>
      </c>
      <c r="BH601" s="1415"/>
      <c r="BI601" s="1395">
        <f t="shared" si="3"/>
        <v>1</v>
      </c>
      <c r="BJ601" s="1397"/>
      <c r="BK601" s="1414">
        <f t="shared" si="4"/>
        <v>2</v>
      </c>
      <c r="BL601" s="1415"/>
      <c r="BM601" s="3"/>
      <c r="BN601" s="1406">
        <f t="shared" si="5"/>
        <v>0</v>
      </c>
      <c r="BO601" s="1407"/>
      <c r="BP601" s="1407"/>
      <c r="BQ601" s="1407"/>
      <c r="BR601" s="1408"/>
      <c r="BS601" s="1409">
        <f t="shared" si="6"/>
        <v>2</v>
      </c>
      <c r="BT601" s="1409"/>
      <c r="BU601" s="1409"/>
      <c r="BV601" s="1409"/>
      <c r="BW601" s="1409"/>
      <c r="BX601" s="1409">
        <f t="shared" si="7"/>
        <v>0</v>
      </c>
      <c r="BY601" s="1409"/>
      <c r="BZ601" s="1409"/>
      <c r="CA601" s="1409"/>
      <c r="CB601" s="1409"/>
      <c r="CC601" s="1409">
        <f t="shared" si="8"/>
        <v>0</v>
      </c>
      <c r="CD601" s="1409"/>
      <c r="CE601" s="1409"/>
      <c r="CF601" s="1409"/>
      <c r="CG601" s="1409"/>
      <c r="CH601" s="1409">
        <f t="shared" si="9"/>
        <v>0</v>
      </c>
      <c r="CI601" s="1409"/>
      <c r="CJ601" s="1409"/>
      <c r="CK601" s="1409"/>
      <c r="CL601" s="1409"/>
      <c r="CM601" s="1409">
        <f t="shared" si="10"/>
        <v>0</v>
      </c>
      <c r="CN601" s="1409"/>
      <c r="CO601" s="1409"/>
      <c r="CP601" s="1409"/>
      <c r="CQ601" s="1409"/>
      <c r="CR601" s="6"/>
      <c r="CS601" s="1405">
        <f t="shared" si="11"/>
        <v>0</v>
      </c>
      <c r="CT601" s="1405"/>
      <c r="CU601" s="1405"/>
      <c r="CV601" s="1405"/>
      <c r="CW601" s="1405"/>
      <c r="CX601" s="1405">
        <f t="shared" si="12"/>
        <v>2</v>
      </c>
      <c r="CY601" s="1405"/>
      <c r="CZ601" s="1405"/>
      <c r="DA601" s="1405"/>
      <c r="DB601" s="1405"/>
      <c r="DC601" s="1405">
        <f t="shared" si="13"/>
        <v>0</v>
      </c>
      <c r="DD601" s="1405"/>
      <c r="DE601" s="1405"/>
      <c r="DF601" s="1405"/>
      <c r="DG601" s="1405"/>
      <c r="DH601" s="1405">
        <f t="shared" si="14"/>
        <v>0</v>
      </c>
      <c r="DI601" s="1405"/>
      <c r="DJ601" s="1405"/>
      <c r="DK601" s="1405"/>
      <c r="DL601" s="1405"/>
      <c r="DM601" s="1405">
        <f t="shared" si="15"/>
        <v>0</v>
      </c>
      <c r="DN601" s="1405"/>
      <c r="DO601" s="1405"/>
      <c r="DP601" s="1405"/>
      <c r="DQ601" s="1405"/>
      <c r="DR601" s="1405">
        <f t="shared" si="16"/>
        <v>0</v>
      </c>
      <c r="DS601" s="1405"/>
      <c r="DT601" s="1405"/>
      <c r="DU601" s="1405"/>
      <c r="DV601" s="1405"/>
      <c r="DX601" s="1395" t="str">
        <f t="shared" si="17"/>
        <v/>
      </c>
      <c r="DY601" s="1396"/>
      <c r="DZ601" s="1396"/>
      <c r="EA601" s="1396"/>
      <c r="EB601" s="1397"/>
      <c r="EC601" s="1395">
        <f t="shared" si="18"/>
        <v>840</v>
      </c>
      <c r="ED601" s="1396"/>
      <c r="EE601" s="1396"/>
      <c r="EF601" s="1396"/>
      <c r="EG601" s="1397"/>
      <c r="EH601" s="1395" t="str">
        <f t="shared" si="19"/>
        <v/>
      </c>
      <c r="EI601" s="1396"/>
      <c r="EJ601" s="1396"/>
      <c r="EK601" s="1396"/>
      <c r="EL601" s="1397"/>
      <c r="EM601" s="1395" t="str">
        <f t="shared" si="20"/>
        <v/>
      </c>
      <c r="EN601" s="1396"/>
      <c r="EO601" s="1396"/>
      <c r="EP601" s="1396"/>
      <c r="EQ601" s="1397"/>
      <c r="ER601" s="1395" t="str">
        <f t="shared" si="21"/>
        <v/>
      </c>
      <c r="ES601" s="1396"/>
      <c r="ET601" s="1396"/>
      <c r="EU601" s="1396"/>
      <c r="EV601" s="1397"/>
      <c r="EW601" s="1395" t="str">
        <f t="shared" si="22"/>
        <v/>
      </c>
      <c r="EX601" s="1396"/>
      <c r="EY601" s="1396"/>
      <c r="EZ601" s="1396"/>
      <c r="FA601" s="1397"/>
    </row>
    <row r="602" spans="1:157" ht="12.95" customHeight="1">
      <c r="A602" s="22"/>
      <c r="B602" t="s">
        <v>85</v>
      </c>
      <c r="G602" s="1398"/>
      <c r="H602" s="1398"/>
      <c r="I602" s="1398"/>
      <c r="J602" s="1398"/>
      <c r="K602" s="1398"/>
      <c r="L602" s="1398"/>
      <c r="M602" s="1398"/>
      <c r="N602" s="1398"/>
      <c r="O602" s="1398"/>
      <c r="P602" s="1398"/>
      <c r="Q602" s="1398"/>
      <c r="R602" s="1398"/>
      <c r="T602" s="22"/>
      <c r="U602" t="s">
        <v>85</v>
      </c>
      <c r="Z602" s="1398"/>
      <c r="AA602" s="1398"/>
      <c r="AB602" s="1398"/>
      <c r="AC602" s="1398"/>
      <c r="AD602" s="1398"/>
      <c r="AE602" s="1398"/>
      <c r="AF602" s="1398"/>
      <c r="AG602" s="1398"/>
      <c r="AH602" s="1398"/>
      <c r="AI602" s="1398"/>
      <c r="AJ602" s="1398"/>
      <c r="AK602" s="1398"/>
      <c r="AZ602" s="3"/>
      <c r="BA602" s="3"/>
      <c r="BB602" s="3"/>
      <c r="BC602" s="3"/>
      <c r="BD602" s="3"/>
      <c r="BE602" s="1395">
        <f t="shared" si="1"/>
        <v>1</v>
      </c>
      <c r="BF602" s="1397"/>
      <c r="BG602" s="1414">
        <f t="shared" si="2"/>
        <v>4</v>
      </c>
      <c r="BH602" s="1415"/>
      <c r="BI602" s="1395">
        <f t="shared" si="3"/>
        <v>0</v>
      </c>
      <c r="BJ602" s="1397"/>
      <c r="BK602" s="1414">
        <f t="shared" si="4"/>
        <v>0</v>
      </c>
      <c r="BL602" s="1415"/>
      <c r="BM602" s="3"/>
      <c r="BN602" s="1406">
        <f t="shared" si="5"/>
        <v>0</v>
      </c>
      <c r="BO602" s="1407"/>
      <c r="BP602" s="1407"/>
      <c r="BQ602" s="1407"/>
      <c r="BR602" s="1408"/>
      <c r="BS602" s="1409">
        <f t="shared" si="6"/>
        <v>4</v>
      </c>
      <c r="BT602" s="1409"/>
      <c r="BU602" s="1409"/>
      <c r="BV602" s="1409"/>
      <c r="BW602" s="1409"/>
      <c r="BX602" s="1409">
        <f t="shared" si="7"/>
        <v>0</v>
      </c>
      <c r="BY602" s="1409"/>
      <c r="BZ602" s="1409"/>
      <c r="CA602" s="1409"/>
      <c r="CB602" s="1409"/>
      <c r="CC602" s="1409">
        <f t="shared" si="8"/>
        <v>0</v>
      </c>
      <c r="CD602" s="1409"/>
      <c r="CE602" s="1409"/>
      <c r="CF602" s="1409"/>
      <c r="CG602" s="1409"/>
      <c r="CH602" s="1409">
        <f t="shared" si="9"/>
        <v>0</v>
      </c>
      <c r="CI602" s="1409"/>
      <c r="CJ602" s="1409"/>
      <c r="CK602" s="1409"/>
      <c r="CL602" s="1409"/>
      <c r="CM602" s="1409">
        <f t="shared" si="10"/>
        <v>0</v>
      </c>
      <c r="CN602" s="1409"/>
      <c r="CO602" s="1409"/>
      <c r="CP602" s="1409"/>
      <c r="CQ602" s="1409"/>
      <c r="CR602" s="6"/>
      <c r="CS602" s="1405">
        <f t="shared" si="11"/>
        <v>0</v>
      </c>
      <c r="CT602" s="1405"/>
      <c r="CU602" s="1405"/>
      <c r="CV602" s="1405"/>
      <c r="CW602" s="1405"/>
      <c r="CX602" s="1405">
        <f t="shared" si="12"/>
        <v>0</v>
      </c>
      <c r="CY602" s="1405"/>
      <c r="CZ602" s="1405"/>
      <c r="DA602" s="1405"/>
      <c r="DB602" s="1405"/>
      <c r="DC602" s="1405">
        <f t="shared" si="13"/>
        <v>0</v>
      </c>
      <c r="DD602" s="1405"/>
      <c r="DE602" s="1405"/>
      <c r="DF602" s="1405"/>
      <c r="DG602" s="1405"/>
      <c r="DH602" s="1405">
        <f t="shared" si="14"/>
        <v>0</v>
      </c>
      <c r="DI602" s="1405"/>
      <c r="DJ602" s="1405"/>
      <c r="DK602" s="1405"/>
      <c r="DL602" s="1405"/>
      <c r="DM602" s="1405">
        <f t="shared" si="15"/>
        <v>0</v>
      </c>
      <c r="DN602" s="1405"/>
      <c r="DO602" s="1405"/>
      <c r="DP602" s="1405"/>
      <c r="DQ602" s="1405"/>
      <c r="DR602" s="1405">
        <f t="shared" si="16"/>
        <v>0</v>
      </c>
      <c r="DS602" s="1405"/>
      <c r="DT602" s="1405"/>
      <c r="DU602" s="1405"/>
      <c r="DV602" s="1405"/>
      <c r="DX602" s="1395" t="str">
        <f t="shared" si="17"/>
        <v/>
      </c>
      <c r="DY602" s="1396"/>
      <c r="DZ602" s="1396"/>
      <c r="EA602" s="1396"/>
      <c r="EB602" s="1397"/>
      <c r="EC602" s="1395">
        <f t="shared" si="18"/>
        <v>1124</v>
      </c>
      <c r="ED602" s="1396"/>
      <c r="EE602" s="1396"/>
      <c r="EF602" s="1396"/>
      <c r="EG602" s="1397"/>
      <c r="EH602" s="1395" t="str">
        <f t="shared" si="19"/>
        <v/>
      </c>
      <c r="EI602" s="1396"/>
      <c r="EJ602" s="1396"/>
      <c r="EK602" s="1396"/>
      <c r="EL602" s="1397"/>
      <c r="EM602" s="1395" t="str">
        <f t="shared" si="20"/>
        <v/>
      </c>
      <c r="EN602" s="1396"/>
      <c r="EO602" s="1396"/>
      <c r="EP602" s="1396"/>
      <c r="EQ602" s="1397"/>
      <c r="ER602" s="1395" t="str">
        <f t="shared" si="21"/>
        <v/>
      </c>
      <c r="ES602" s="1396"/>
      <c r="ET602" s="1396"/>
      <c r="EU602" s="1396"/>
      <c r="EV602" s="1397"/>
      <c r="EW602" s="1395" t="str">
        <f t="shared" si="22"/>
        <v/>
      </c>
      <c r="EX602" s="1396"/>
      <c r="EY602" s="1396"/>
      <c r="EZ602" s="1396"/>
      <c r="FA602" s="1397"/>
    </row>
    <row r="603" spans="1:157" ht="12.95" customHeight="1">
      <c r="A603" s="22"/>
      <c r="B603" t="s">
        <v>589</v>
      </c>
      <c r="G603" s="1398"/>
      <c r="H603" s="1398"/>
      <c r="I603" s="1398"/>
      <c r="J603" s="1398"/>
      <c r="K603" s="1398"/>
      <c r="L603" s="1398"/>
      <c r="M603" s="1398"/>
      <c r="N603" s="1398"/>
      <c r="O603" s="1398"/>
      <c r="P603" s="1398"/>
      <c r="Q603" s="1398"/>
      <c r="R603" s="1398"/>
      <c r="T603" s="22"/>
      <c r="U603" t="s">
        <v>589</v>
      </c>
      <c r="Z603" s="1404"/>
      <c r="AA603" s="1404"/>
      <c r="AB603" s="1404"/>
      <c r="AC603" s="1404"/>
      <c r="AD603" s="1404"/>
      <c r="AE603" s="1404"/>
      <c r="AF603" s="1404"/>
      <c r="AG603" s="1404"/>
      <c r="AH603" s="1404"/>
      <c r="AI603" s="1404"/>
      <c r="AJ603" s="1404"/>
      <c r="AK603" s="1404"/>
      <c r="AZ603" s="3"/>
      <c r="BA603" s="3"/>
      <c r="BB603" s="3"/>
      <c r="BC603" s="3"/>
      <c r="BD603" s="3"/>
      <c r="BE603" s="1395">
        <f t="shared" si="1"/>
        <v>1</v>
      </c>
      <c r="BF603" s="1397"/>
      <c r="BG603" s="1414">
        <f t="shared" si="2"/>
        <v>12</v>
      </c>
      <c r="BH603" s="1415"/>
      <c r="BI603" s="1395">
        <f t="shared" si="3"/>
        <v>0</v>
      </c>
      <c r="BJ603" s="1397"/>
      <c r="BK603" s="1414">
        <f t="shared" si="4"/>
        <v>0</v>
      </c>
      <c r="BL603" s="1415"/>
      <c r="BM603" s="3"/>
      <c r="BN603" s="1406">
        <f t="shared" si="5"/>
        <v>0</v>
      </c>
      <c r="BO603" s="1407"/>
      <c r="BP603" s="1407"/>
      <c r="BQ603" s="1407"/>
      <c r="BR603" s="1408"/>
      <c r="BS603" s="1409">
        <f t="shared" si="6"/>
        <v>12</v>
      </c>
      <c r="BT603" s="1409"/>
      <c r="BU603" s="1409"/>
      <c r="BV603" s="1409"/>
      <c r="BW603" s="1409"/>
      <c r="BX603" s="1409">
        <f t="shared" si="7"/>
        <v>0</v>
      </c>
      <c r="BY603" s="1409"/>
      <c r="BZ603" s="1409"/>
      <c r="CA603" s="1409"/>
      <c r="CB603" s="1409"/>
      <c r="CC603" s="1409">
        <f t="shared" si="8"/>
        <v>0</v>
      </c>
      <c r="CD603" s="1409"/>
      <c r="CE603" s="1409"/>
      <c r="CF603" s="1409"/>
      <c r="CG603" s="1409"/>
      <c r="CH603" s="1409">
        <f t="shared" si="9"/>
        <v>0</v>
      </c>
      <c r="CI603" s="1409"/>
      <c r="CJ603" s="1409"/>
      <c r="CK603" s="1409"/>
      <c r="CL603" s="1409"/>
      <c r="CM603" s="1409">
        <f t="shared" si="10"/>
        <v>0</v>
      </c>
      <c r="CN603" s="1409"/>
      <c r="CO603" s="1409"/>
      <c r="CP603" s="1409"/>
      <c r="CQ603" s="1409"/>
      <c r="CR603" s="6"/>
      <c r="CS603" s="1405">
        <f t="shared" si="11"/>
        <v>0</v>
      </c>
      <c r="CT603" s="1405"/>
      <c r="CU603" s="1405"/>
      <c r="CV603" s="1405"/>
      <c r="CW603" s="1405"/>
      <c r="CX603" s="1405">
        <f t="shared" si="12"/>
        <v>0</v>
      </c>
      <c r="CY603" s="1405"/>
      <c r="CZ603" s="1405"/>
      <c r="DA603" s="1405"/>
      <c r="DB603" s="1405"/>
      <c r="DC603" s="1405">
        <f t="shared" si="13"/>
        <v>0</v>
      </c>
      <c r="DD603" s="1405"/>
      <c r="DE603" s="1405"/>
      <c r="DF603" s="1405"/>
      <c r="DG603" s="1405"/>
      <c r="DH603" s="1405">
        <f t="shared" si="14"/>
        <v>0</v>
      </c>
      <c r="DI603" s="1405"/>
      <c r="DJ603" s="1405"/>
      <c r="DK603" s="1405"/>
      <c r="DL603" s="1405"/>
      <c r="DM603" s="1405">
        <f t="shared" si="15"/>
        <v>0</v>
      </c>
      <c r="DN603" s="1405"/>
      <c r="DO603" s="1405"/>
      <c r="DP603" s="1405"/>
      <c r="DQ603" s="1405"/>
      <c r="DR603" s="1405">
        <f t="shared" si="16"/>
        <v>0</v>
      </c>
      <c r="DS603" s="1405"/>
      <c r="DT603" s="1405"/>
      <c r="DU603" s="1405"/>
      <c r="DV603" s="1405"/>
      <c r="DX603" s="1395" t="str">
        <f t="shared" si="17"/>
        <v/>
      </c>
      <c r="DY603" s="1396"/>
      <c r="DZ603" s="1396"/>
      <c r="EA603" s="1396"/>
      <c r="EB603" s="1397"/>
      <c r="EC603" s="1395">
        <f t="shared" si="18"/>
        <v>1408</v>
      </c>
      <c r="ED603" s="1396"/>
      <c r="EE603" s="1396"/>
      <c r="EF603" s="1396"/>
      <c r="EG603" s="1397"/>
      <c r="EH603" s="1395" t="str">
        <f t="shared" si="19"/>
        <v/>
      </c>
      <c r="EI603" s="1396"/>
      <c r="EJ603" s="1396"/>
      <c r="EK603" s="1396"/>
      <c r="EL603" s="1397"/>
      <c r="EM603" s="1395" t="str">
        <f t="shared" si="20"/>
        <v/>
      </c>
      <c r="EN603" s="1396"/>
      <c r="EO603" s="1396"/>
      <c r="EP603" s="1396"/>
      <c r="EQ603" s="1397"/>
      <c r="ER603" s="1395" t="str">
        <f t="shared" si="21"/>
        <v/>
      </c>
      <c r="ES603" s="1396"/>
      <c r="ET603" s="1396"/>
      <c r="EU603" s="1396"/>
      <c r="EV603" s="1397"/>
      <c r="EW603" s="1395" t="str">
        <f t="shared" si="22"/>
        <v/>
      </c>
      <c r="EX603" s="1396"/>
      <c r="EY603" s="1396"/>
      <c r="EZ603" s="1396"/>
      <c r="FA603" s="1397"/>
    </row>
    <row r="604" spans="1:157" ht="12.95" customHeight="1">
      <c r="A604" s="22"/>
      <c r="B604" t="s">
        <v>17</v>
      </c>
      <c r="G604" s="1398"/>
      <c r="H604" s="1398"/>
      <c r="I604" s="1398"/>
      <c r="J604" s="1398"/>
      <c r="K604" s="1398"/>
      <c r="L604" s="1398"/>
      <c r="M604" s="1398"/>
      <c r="N604" s="1398"/>
      <c r="O604" s="1398"/>
      <c r="P604" s="1398"/>
      <c r="Q604" s="1398"/>
      <c r="R604" s="1398"/>
      <c r="T604" s="22"/>
      <c r="U604" t="s">
        <v>17</v>
      </c>
      <c r="Z604" s="1404"/>
      <c r="AA604" s="1404"/>
      <c r="AB604" s="1404"/>
      <c r="AC604" s="1404"/>
      <c r="AD604" s="1404"/>
      <c r="AE604" s="1404"/>
      <c r="AF604" s="1404"/>
      <c r="AG604" s="1404"/>
      <c r="AH604" s="1404"/>
      <c r="AI604" s="1404"/>
      <c r="AJ604" s="1404"/>
      <c r="AK604" s="1404"/>
      <c r="AZ604" s="3"/>
      <c r="BA604" s="3"/>
      <c r="BB604" s="3"/>
      <c r="BC604" s="3"/>
      <c r="BD604" s="3"/>
      <c r="BE604" s="1395">
        <f t="shared" si="1"/>
        <v>0</v>
      </c>
      <c r="BF604" s="1397"/>
      <c r="BG604" s="1414">
        <f t="shared" si="2"/>
        <v>0</v>
      </c>
      <c r="BH604" s="1415"/>
      <c r="BI604" s="1395">
        <f t="shared" si="3"/>
        <v>0</v>
      </c>
      <c r="BJ604" s="1397"/>
      <c r="BK604" s="1414">
        <f t="shared" si="4"/>
        <v>0</v>
      </c>
      <c r="BL604" s="1415"/>
      <c r="BM604" s="3"/>
      <c r="BN604" s="1406">
        <f t="shared" si="5"/>
        <v>0</v>
      </c>
      <c r="BO604" s="1407"/>
      <c r="BP604" s="1407"/>
      <c r="BQ604" s="1407"/>
      <c r="BR604" s="1408"/>
      <c r="BS604" s="1409">
        <f t="shared" si="6"/>
        <v>8</v>
      </c>
      <c r="BT604" s="1409"/>
      <c r="BU604" s="1409"/>
      <c r="BV604" s="1409"/>
      <c r="BW604" s="1409"/>
      <c r="BX604" s="1409">
        <f t="shared" si="7"/>
        <v>0</v>
      </c>
      <c r="BY604" s="1409"/>
      <c r="BZ604" s="1409"/>
      <c r="CA604" s="1409"/>
      <c r="CB604" s="1409"/>
      <c r="CC604" s="1409">
        <f t="shared" si="8"/>
        <v>0</v>
      </c>
      <c r="CD604" s="1409"/>
      <c r="CE604" s="1409"/>
      <c r="CF604" s="1409"/>
      <c r="CG604" s="1409"/>
      <c r="CH604" s="1409">
        <f t="shared" si="9"/>
        <v>0</v>
      </c>
      <c r="CI604" s="1409"/>
      <c r="CJ604" s="1409"/>
      <c r="CK604" s="1409"/>
      <c r="CL604" s="1409"/>
      <c r="CM604" s="1409">
        <f t="shared" si="10"/>
        <v>0</v>
      </c>
      <c r="CN604" s="1409"/>
      <c r="CO604" s="1409"/>
      <c r="CP604" s="1409"/>
      <c r="CQ604" s="1409"/>
      <c r="CR604" s="6"/>
      <c r="CS604" s="1405">
        <f t="shared" si="11"/>
        <v>0</v>
      </c>
      <c r="CT604" s="1405"/>
      <c r="CU604" s="1405"/>
      <c r="CV604" s="1405"/>
      <c r="CW604" s="1405"/>
      <c r="CX604" s="1405">
        <f t="shared" si="12"/>
        <v>0</v>
      </c>
      <c r="CY604" s="1405"/>
      <c r="CZ604" s="1405"/>
      <c r="DA604" s="1405"/>
      <c r="DB604" s="1405"/>
      <c r="DC604" s="1405">
        <f t="shared" si="13"/>
        <v>0</v>
      </c>
      <c r="DD604" s="1405"/>
      <c r="DE604" s="1405"/>
      <c r="DF604" s="1405"/>
      <c r="DG604" s="1405"/>
      <c r="DH604" s="1405">
        <f t="shared" si="14"/>
        <v>0</v>
      </c>
      <c r="DI604" s="1405"/>
      <c r="DJ604" s="1405"/>
      <c r="DK604" s="1405"/>
      <c r="DL604" s="1405"/>
      <c r="DM604" s="1405">
        <f t="shared" si="15"/>
        <v>0</v>
      </c>
      <c r="DN604" s="1405"/>
      <c r="DO604" s="1405"/>
      <c r="DP604" s="1405"/>
      <c r="DQ604" s="1405"/>
      <c r="DR604" s="1405">
        <f t="shared" si="16"/>
        <v>0</v>
      </c>
      <c r="DS604" s="1405"/>
      <c r="DT604" s="1405"/>
      <c r="DU604" s="1405"/>
      <c r="DV604" s="1405"/>
      <c r="DX604" s="1395" t="str">
        <f t="shared" si="17"/>
        <v/>
      </c>
      <c r="DY604" s="1396"/>
      <c r="DZ604" s="1396"/>
      <c r="EA604" s="1396"/>
      <c r="EB604" s="1397"/>
      <c r="EC604" s="1395">
        <f t="shared" si="18"/>
        <v>2099</v>
      </c>
      <c r="ED604" s="1396"/>
      <c r="EE604" s="1396"/>
      <c r="EF604" s="1396"/>
      <c r="EG604" s="1397"/>
      <c r="EH604" s="1395" t="str">
        <f t="shared" si="19"/>
        <v/>
      </c>
      <c r="EI604" s="1396"/>
      <c r="EJ604" s="1396"/>
      <c r="EK604" s="1396"/>
      <c r="EL604" s="1397"/>
      <c r="EM604" s="1395" t="str">
        <f t="shared" si="20"/>
        <v/>
      </c>
      <c r="EN604" s="1396"/>
      <c r="EO604" s="1396"/>
      <c r="EP604" s="1396"/>
      <c r="EQ604" s="1397"/>
      <c r="ER604" s="1395" t="str">
        <f t="shared" si="21"/>
        <v/>
      </c>
      <c r="ES604" s="1396"/>
      <c r="ET604" s="1396"/>
      <c r="EU604" s="1396"/>
      <c r="EV604" s="1397"/>
      <c r="EW604" s="1395" t="str">
        <f t="shared" si="22"/>
        <v/>
      </c>
      <c r="EX604" s="1396"/>
      <c r="EY604" s="1396"/>
      <c r="EZ604" s="1396"/>
      <c r="FA604" s="1397"/>
    </row>
    <row r="605" spans="1:157" s="4" customFormat="1" ht="12.95" customHeight="1">
      <c r="A605" s="22"/>
      <c r="B605" t="s">
        <v>317</v>
      </c>
      <c r="C605"/>
      <c r="D605"/>
      <c r="E605"/>
      <c r="F605"/>
      <c r="G605" s="1491"/>
      <c r="H605" s="1491"/>
      <c r="I605" s="1491"/>
      <c r="J605" s="1491"/>
      <c r="K605" s="1491"/>
      <c r="L605" s="1491"/>
      <c r="M605"/>
      <c r="N605"/>
      <c r="O605" s="33" t="s">
        <v>207</v>
      </c>
      <c r="P605" s="1402"/>
      <c r="Q605" s="1402"/>
      <c r="R605" s="1402"/>
      <c r="S605"/>
      <c r="T605" s="22"/>
      <c r="U605" t="s">
        <v>317</v>
      </c>
      <c r="V605"/>
      <c r="W605"/>
      <c r="X605"/>
      <c r="Y605"/>
      <c r="Z605" s="1491"/>
      <c r="AA605" s="1491"/>
      <c r="AB605" s="1491"/>
      <c r="AC605" s="1491"/>
      <c r="AD605" s="1491"/>
      <c r="AE605" s="1491"/>
      <c r="AF605"/>
      <c r="AG605"/>
      <c r="AH605" s="33" t="s">
        <v>207</v>
      </c>
      <c r="AI605" s="1402"/>
      <c r="AJ605" s="1402"/>
      <c r="AK605" s="1402"/>
      <c r="AL605"/>
      <c r="AM605"/>
      <c r="AN605"/>
      <c r="AO605"/>
      <c r="AP605"/>
      <c r="AQ605"/>
      <c r="AR605"/>
      <c r="AS605"/>
      <c r="AT605"/>
      <c r="AU605"/>
      <c r="AV605"/>
      <c r="AW605"/>
      <c r="AX605"/>
      <c r="AY605"/>
      <c r="AZ605" s="3"/>
      <c r="BA605" s="3"/>
      <c r="BB605" s="3"/>
      <c r="BC605" s="3"/>
      <c r="BD605" s="3"/>
      <c r="BE605" s="1395">
        <f t="shared" si="1"/>
        <v>0</v>
      </c>
      <c r="BF605" s="1397"/>
      <c r="BG605" s="1414">
        <f t="shared" si="2"/>
        <v>0</v>
      </c>
      <c r="BH605" s="1415"/>
      <c r="BI605" s="1395">
        <f t="shared" si="3"/>
        <v>1</v>
      </c>
      <c r="BJ605" s="1397"/>
      <c r="BK605" s="1414">
        <f t="shared" si="4"/>
        <v>10</v>
      </c>
      <c r="BL605" s="1415"/>
      <c r="BM605" s="3"/>
      <c r="BN605" s="1406">
        <f t="shared" si="5"/>
        <v>0</v>
      </c>
      <c r="BO605" s="1407"/>
      <c r="BP605" s="1407"/>
      <c r="BQ605" s="1407"/>
      <c r="BR605" s="1408"/>
      <c r="BS605" s="1409">
        <f t="shared" si="6"/>
        <v>0</v>
      </c>
      <c r="BT605" s="1409"/>
      <c r="BU605" s="1409"/>
      <c r="BV605" s="1409"/>
      <c r="BW605" s="1409"/>
      <c r="BX605" s="1409">
        <f t="shared" si="7"/>
        <v>10</v>
      </c>
      <c r="BY605" s="1409"/>
      <c r="BZ605" s="1409"/>
      <c r="CA605" s="1409"/>
      <c r="CB605" s="1409"/>
      <c r="CC605" s="1409">
        <f t="shared" si="8"/>
        <v>0</v>
      </c>
      <c r="CD605" s="1409"/>
      <c r="CE605" s="1409"/>
      <c r="CF605" s="1409"/>
      <c r="CG605" s="1409"/>
      <c r="CH605" s="1409">
        <f t="shared" si="9"/>
        <v>0</v>
      </c>
      <c r="CI605" s="1409"/>
      <c r="CJ605" s="1409"/>
      <c r="CK605" s="1409"/>
      <c r="CL605" s="1409"/>
      <c r="CM605" s="1409">
        <f t="shared" si="10"/>
        <v>0</v>
      </c>
      <c r="CN605" s="1409"/>
      <c r="CO605" s="1409"/>
      <c r="CP605" s="1409"/>
      <c r="CQ605" s="1409"/>
      <c r="CR605" s="6"/>
      <c r="CS605" s="1405">
        <f t="shared" si="11"/>
        <v>0</v>
      </c>
      <c r="CT605" s="1405"/>
      <c r="CU605" s="1405"/>
      <c r="CV605" s="1405"/>
      <c r="CW605" s="1405"/>
      <c r="CX605" s="1405">
        <f t="shared" si="12"/>
        <v>0</v>
      </c>
      <c r="CY605" s="1405"/>
      <c r="CZ605" s="1405"/>
      <c r="DA605" s="1405"/>
      <c r="DB605" s="1405"/>
      <c r="DC605" s="1405">
        <f t="shared" si="13"/>
        <v>10</v>
      </c>
      <c r="DD605" s="1405"/>
      <c r="DE605" s="1405"/>
      <c r="DF605" s="1405"/>
      <c r="DG605" s="1405"/>
      <c r="DH605" s="1405">
        <f t="shared" si="14"/>
        <v>0</v>
      </c>
      <c r="DI605" s="1405"/>
      <c r="DJ605" s="1405"/>
      <c r="DK605" s="1405"/>
      <c r="DL605" s="1405"/>
      <c r="DM605" s="1405">
        <f t="shared" si="15"/>
        <v>0</v>
      </c>
      <c r="DN605" s="1405"/>
      <c r="DO605" s="1405"/>
      <c r="DP605" s="1405"/>
      <c r="DQ605" s="1405"/>
      <c r="DR605" s="1405">
        <f t="shared" si="16"/>
        <v>0</v>
      </c>
      <c r="DS605" s="1405"/>
      <c r="DT605" s="1405"/>
      <c r="DU605" s="1405"/>
      <c r="DV605" s="1405"/>
      <c r="DX605" s="1395" t="str">
        <f t="shared" si="17"/>
        <v/>
      </c>
      <c r="DY605" s="1396"/>
      <c r="DZ605" s="1396"/>
      <c r="EA605" s="1396"/>
      <c r="EB605" s="1397"/>
      <c r="EC605" s="1395" t="str">
        <f t="shared" si="18"/>
        <v/>
      </c>
      <c r="ED605" s="1396"/>
      <c r="EE605" s="1396"/>
      <c r="EF605" s="1396"/>
      <c r="EG605" s="1397"/>
      <c r="EH605" s="1395">
        <f t="shared" si="19"/>
        <v>1011</v>
      </c>
      <c r="EI605" s="1396"/>
      <c r="EJ605" s="1396"/>
      <c r="EK605" s="1396"/>
      <c r="EL605" s="1397"/>
      <c r="EM605" s="1395" t="str">
        <f t="shared" si="20"/>
        <v/>
      </c>
      <c r="EN605" s="1396"/>
      <c r="EO605" s="1396"/>
      <c r="EP605" s="1396"/>
      <c r="EQ605" s="1397"/>
      <c r="ER605" s="1395" t="str">
        <f t="shared" si="21"/>
        <v/>
      </c>
      <c r="ES605" s="1396"/>
      <c r="ET605" s="1396"/>
      <c r="EU605" s="1396"/>
      <c r="EV605" s="1397"/>
      <c r="EW605" s="1395" t="str">
        <f t="shared" si="22"/>
        <v/>
      </c>
      <c r="EX605" s="1396"/>
      <c r="EY605" s="1396"/>
      <c r="EZ605" s="1396"/>
      <c r="FA605" s="1397"/>
    </row>
    <row r="606" spans="1:157" s="4" customFormat="1" ht="12.95" customHeight="1">
      <c r="A606" s="22"/>
      <c r="B606" t="s">
        <v>18</v>
      </c>
      <c r="C606"/>
      <c r="D606"/>
      <c r="E606"/>
      <c r="F606"/>
      <c r="G606"/>
      <c r="H606" s="1398"/>
      <c r="I606" s="1398"/>
      <c r="J606" s="1398"/>
      <c r="K606" s="1398"/>
      <c r="L606" s="1398"/>
      <c r="M606" s="1398"/>
      <c r="N606" s="1398"/>
      <c r="O606" s="1398"/>
      <c r="P606" s="1398"/>
      <c r="Q606" s="1398"/>
      <c r="R606" s="1398"/>
      <c r="S606"/>
      <c r="T606" s="22"/>
      <c r="U606" t="s">
        <v>18</v>
      </c>
      <c r="V606"/>
      <c r="W606"/>
      <c r="X606"/>
      <c r="Y606"/>
      <c r="Z606"/>
      <c r="AA606" s="1398"/>
      <c r="AB606" s="1398"/>
      <c r="AC606" s="1398"/>
      <c r="AD606" s="1398"/>
      <c r="AE606" s="1398"/>
      <c r="AF606" s="1398"/>
      <c r="AG606" s="1398"/>
      <c r="AH606" s="1398"/>
      <c r="AI606" s="1398"/>
      <c r="AJ606" s="1398"/>
      <c r="AK606" s="1398"/>
      <c r="AL606"/>
      <c r="AM606"/>
      <c r="AN606"/>
      <c r="AO606"/>
      <c r="AP606"/>
      <c r="AQ606"/>
      <c r="AR606"/>
      <c r="AS606"/>
      <c r="AT606"/>
      <c r="AU606"/>
      <c r="AV606"/>
      <c r="AW606"/>
      <c r="AX606"/>
      <c r="AY606"/>
      <c r="AZ606" s="3"/>
      <c r="BA606" s="3"/>
      <c r="BB606" s="3"/>
      <c r="BC606" s="3"/>
      <c r="BD606" s="3"/>
      <c r="BE606" s="1395">
        <f t="shared" si="1"/>
        <v>1</v>
      </c>
      <c r="BF606" s="1397"/>
      <c r="BG606" s="1414">
        <f t="shared" si="2"/>
        <v>14</v>
      </c>
      <c r="BH606" s="1415"/>
      <c r="BI606" s="1395">
        <f t="shared" si="3"/>
        <v>0</v>
      </c>
      <c r="BJ606" s="1397"/>
      <c r="BK606" s="1414">
        <f t="shared" si="4"/>
        <v>0</v>
      </c>
      <c r="BL606" s="1415"/>
      <c r="BM606" s="3"/>
      <c r="BN606" s="1406">
        <f t="shared" si="5"/>
        <v>0</v>
      </c>
      <c r="BO606" s="1407"/>
      <c r="BP606" s="1407"/>
      <c r="BQ606" s="1407"/>
      <c r="BR606" s="1408"/>
      <c r="BS606" s="1409">
        <f t="shared" si="6"/>
        <v>0</v>
      </c>
      <c r="BT606" s="1409"/>
      <c r="BU606" s="1409"/>
      <c r="BV606" s="1409"/>
      <c r="BW606" s="1409"/>
      <c r="BX606" s="1409">
        <f t="shared" si="7"/>
        <v>14</v>
      </c>
      <c r="BY606" s="1409"/>
      <c r="BZ606" s="1409"/>
      <c r="CA606" s="1409"/>
      <c r="CB606" s="1409"/>
      <c r="CC606" s="1409">
        <f t="shared" si="8"/>
        <v>0</v>
      </c>
      <c r="CD606" s="1409"/>
      <c r="CE606" s="1409"/>
      <c r="CF606" s="1409"/>
      <c r="CG606" s="1409"/>
      <c r="CH606" s="1409">
        <f t="shared" si="9"/>
        <v>0</v>
      </c>
      <c r="CI606" s="1409"/>
      <c r="CJ606" s="1409"/>
      <c r="CK606" s="1409"/>
      <c r="CL606" s="1409"/>
      <c r="CM606" s="1409">
        <f t="shared" si="10"/>
        <v>0</v>
      </c>
      <c r="CN606" s="1409"/>
      <c r="CO606" s="1409"/>
      <c r="CP606" s="1409"/>
      <c r="CQ606" s="1409"/>
      <c r="CR606" s="6"/>
      <c r="CS606" s="1405">
        <f t="shared" si="11"/>
        <v>0</v>
      </c>
      <c r="CT606" s="1405"/>
      <c r="CU606" s="1405"/>
      <c r="CV606" s="1405"/>
      <c r="CW606" s="1405"/>
      <c r="CX606" s="1405">
        <f t="shared" si="12"/>
        <v>0</v>
      </c>
      <c r="CY606" s="1405"/>
      <c r="CZ606" s="1405"/>
      <c r="DA606" s="1405"/>
      <c r="DB606" s="1405"/>
      <c r="DC606" s="1405">
        <f t="shared" si="13"/>
        <v>0</v>
      </c>
      <c r="DD606" s="1405"/>
      <c r="DE606" s="1405"/>
      <c r="DF606" s="1405"/>
      <c r="DG606" s="1405"/>
      <c r="DH606" s="1405">
        <f t="shared" si="14"/>
        <v>0</v>
      </c>
      <c r="DI606" s="1405"/>
      <c r="DJ606" s="1405"/>
      <c r="DK606" s="1405"/>
      <c r="DL606" s="1405"/>
      <c r="DM606" s="1405">
        <f t="shared" si="15"/>
        <v>0</v>
      </c>
      <c r="DN606" s="1405"/>
      <c r="DO606" s="1405"/>
      <c r="DP606" s="1405"/>
      <c r="DQ606" s="1405"/>
      <c r="DR606" s="1405">
        <f t="shared" si="16"/>
        <v>0</v>
      </c>
      <c r="DS606" s="1405"/>
      <c r="DT606" s="1405"/>
      <c r="DU606" s="1405"/>
      <c r="DV606" s="1405"/>
      <c r="DX606" s="1395" t="str">
        <f t="shared" si="17"/>
        <v/>
      </c>
      <c r="DY606" s="1396"/>
      <c r="DZ606" s="1396"/>
      <c r="EA606" s="1396"/>
      <c r="EB606" s="1397"/>
      <c r="EC606" s="1395" t="str">
        <f t="shared" si="18"/>
        <v/>
      </c>
      <c r="ED606" s="1396"/>
      <c r="EE606" s="1396"/>
      <c r="EF606" s="1396"/>
      <c r="EG606" s="1397"/>
      <c r="EH606" s="1395">
        <f t="shared" si="19"/>
        <v>1352</v>
      </c>
      <c r="EI606" s="1396"/>
      <c r="EJ606" s="1396"/>
      <c r="EK606" s="1396"/>
      <c r="EL606" s="1397"/>
      <c r="EM606" s="1395" t="str">
        <f t="shared" si="20"/>
        <v/>
      </c>
      <c r="EN606" s="1396"/>
      <c r="EO606" s="1396"/>
      <c r="EP606" s="1396"/>
      <c r="EQ606" s="1397"/>
      <c r="ER606" s="1395" t="str">
        <f t="shared" si="21"/>
        <v/>
      </c>
      <c r="ES606" s="1396"/>
      <c r="ET606" s="1396"/>
      <c r="EU606" s="1396"/>
      <c r="EV606" s="1397"/>
      <c r="EW606" s="1395" t="str">
        <f t="shared" si="22"/>
        <v/>
      </c>
      <c r="EX606" s="1396"/>
      <c r="EY606" s="1396"/>
      <c r="EZ606" s="1396"/>
      <c r="FA606" s="1397"/>
    </row>
    <row r="607" spans="1:157" s="4" customFormat="1" ht="12.95" customHeight="1">
      <c r="A607" s="22"/>
      <c r="B607" t="s">
        <v>20</v>
      </c>
      <c r="C607"/>
      <c r="D607"/>
      <c r="E607"/>
      <c r="F607"/>
      <c r="G607"/>
      <c r="H607"/>
      <c r="I607"/>
      <c r="J607"/>
      <c r="K607"/>
      <c r="L607"/>
      <c r="M607"/>
      <c r="N607" s="1494" t="s">
        <v>678</v>
      </c>
      <c r="O607" s="1494"/>
      <c r="P607"/>
      <c r="Q607"/>
      <c r="R607"/>
      <c r="S607"/>
      <c r="T607" s="22"/>
      <c r="U607" t="s">
        <v>20</v>
      </c>
      <c r="V607"/>
      <c r="W607"/>
      <c r="X607"/>
      <c r="Y607"/>
      <c r="Z607"/>
      <c r="AA607"/>
      <c r="AB607"/>
      <c r="AC607"/>
      <c r="AD607"/>
      <c r="AE607"/>
      <c r="AF607"/>
      <c r="AG607" s="1494" t="s">
        <v>678</v>
      </c>
      <c r="AH607" s="1494"/>
      <c r="AI607"/>
      <c r="AJ607"/>
      <c r="AK607"/>
      <c r="AL607"/>
      <c r="AM607"/>
      <c r="AN607"/>
      <c r="AO607"/>
      <c r="AP607"/>
      <c r="AQ607"/>
      <c r="AR607"/>
      <c r="AS607"/>
      <c r="AT607"/>
      <c r="AU607"/>
      <c r="AV607"/>
      <c r="AW607"/>
      <c r="AX607"/>
      <c r="AY607"/>
      <c r="AZ607" s="3"/>
      <c r="BA607" s="3"/>
      <c r="BB607" s="3"/>
      <c r="BC607" s="3"/>
      <c r="BD607" s="3"/>
      <c r="BE607" s="1395">
        <f t="shared" si="1"/>
        <v>1</v>
      </c>
      <c r="BF607" s="1397"/>
      <c r="BG607" s="1414">
        <f t="shared" si="2"/>
        <v>4</v>
      </c>
      <c r="BH607" s="1415"/>
      <c r="BI607" s="1395">
        <f t="shared" si="3"/>
        <v>0</v>
      </c>
      <c r="BJ607" s="1397"/>
      <c r="BK607" s="1414">
        <f t="shared" si="4"/>
        <v>0</v>
      </c>
      <c r="BL607" s="1415"/>
      <c r="BM607" s="3"/>
      <c r="BN607" s="1406">
        <f t="shared" si="5"/>
        <v>0</v>
      </c>
      <c r="BO607" s="1407"/>
      <c r="BP607" s="1407"/>
      <c r="BQ607" s="1407"/>
      <c r="BR607" s="1408"/>
      <c r="BS607" s="1409">
        <f t="shared" si="6"/>
        <v>0</v>
      </c>
      <c r="BT607" s="1409"/>
      <c r="BU607" s="1409"/>
      <c r="BV607" s="1409"/>
      <c r="BW607" s="1409"/>
      <c r="BX607" s="1409">
        <f t="shared" si="7"/>
        <v>4</v>
      </c>
      <c r="BY607" s="1409"/>
      <c r="BZ607" s="1409"/>
      <c r="CA607" s="1409"/>
      <c r="CB607" s="1409"/>
      <c r="CC607" s="1409">
        <f t="shared" si="8"/>
        <v>0</v>
      </c>
      <c r="CD607" s="1409"/>
      <c r="CE607" s="1409"/>
      <c r="CF607" s="1409"/>
      <c r="CG607" s="1409"/>
      <c r="CH607" s="1409">
        <f t="shared" si="9"/>
        <v>0</v>
      </c>
      <c r="CI607" s="1409"/>
      <c r="CJ607" s="1409"/>
      <c r="CK607" s="1409"/>
      <c r="CL607" s="1409"/>
      <c r="CM607" s="1409">
        <f t="shared" si="10"/>
        <v>0</v>
      </c>
      <c r="CN607" s="1409"/>
      <c r="CO607" s="1409"/>
      <c r="CP607" s="1409"/>
      <c r="CQ607" s="1409"/>
      <c r="CR607" s="6"/>
      <c r="CS607" s="1405">
        <f t="shared" si="11"/>
        <v>0</v>
      </c>
      <c r="CT607" s="1405"/>
      <c r="CU607" s="1405"/>
      <c r="CV607" s="1405"/>
      <c r="CW607" s="1405"/>
      <c r="CX607" s="1405">
        <f t="shared" si="12"/>
        <v>0</v>
      </c>
      <c r="CY607" s="1405"/>
      <c r="CZ607" s="1405"/>
      <c r="DA607" s="1405"/>
      <c r="DB607" s="1405"/>
      <c r="DC607" s="1405">
        <f t="shared" si="13"/>
        <v>0</v>
      </c>
      <c r="DD607" s="1405"/>
      <c r="DE607" s="1405"/>
      <c r="DF607" s="1405"/>
      <c r="DG607" s="1405"/>
      <c r="DH607" s="1405">
        <f t="shared" si="14"/>
        <v>0</v>
      </c>
      <c r="DI607" s="1405"/>
      <c r="DJ607" s="1405"/>
      <c r="DK607" s="1405"/>
      <c r="DL607" s="1405"/>
      <c r="DM607" s="1405">
        <f t="shared" si="15"/>
        <v>0</v>
      </c>
      <c r="DN607" s="1405"/>
      <c r="DO607" s="1405"/>
      <c r="DP607" s="1405"/>
      <c r="DQ607" s="1405"/>
      <c r="DR607" s="1405">
        <f t="shared" si="16"/>
        <v>0</v>
      </c>
      <c r="DS607" s="1405"/>
      <c r="DT607" s="1405"/>
      <c r="DU607" s="1405"/>
      <c r="DV607" s="1405"/>
      <c r="DX607" s="1395" t="str">
        <f t="shared" si="17"/>
        <v/>
      </c>
      <c r="DY607" s="1396"/>
      <c r="DZ607" s="1396"/>
      <c r="EA607" s="1396"/>
      <c r="EB607" s="1397"/>
      <c r="EC607" s="1395" t="str">
        <f t="shared" si="18"/>
        <v/>
      </c>
      <c r="ED607" s="1396"/>
      <c r="EE607" s="1396"/>
      <c r="EF607" s="1396"/>
      <c r="EG607" s="1397"/>
      <c r="EH607" s="1395">
        <f t="shared" si="19"/>
        <v>1693</v>
      </c>
      <c r="EI607" s="1396"/>
      <c r="EJ607" s="1396"/>
      <c r="EK607" s="1396"/>
      <c r="EL607" s="1397"/>
      <c r="EM607" s="1395" t="str">
        <f t="shared" si="20"/>
        <v/>
      </c>
      <c r="EN607" s="1396"/>
      <c r="EO607" s="1396"/>
      <c r="EP607" s="1396"/>
      <c r="EQ607" s="1397"/>
      <c r="ER607" s="1395" t="str">
        <f t="shared" si="21"/>
        <v/>
      </c>
      <c r="ES607" s="1396"/>
      <c r="ET607" s="1396"/>
      <c r="EU607" s="1396"/>
      <c r="EV607" s="1397"/>
      <c r="EW607" s="1395" t="str">
        <f t="shared" si="22"/>
        <v/>
      </c>
      <c r="EX607" s="1396"/>
      <c r="EY607" s="1396"/>
      <c r="EZ607" s="1396"/>
      <c r="FA607" s="1397"/>
    </row>
    <row r="608" spans="1:157" ht="12.95" customHeight="1">
      <c r="A608" s="22"/>
      <c r="T608" s="22"/>
      <c r="AZ608" s="3"/>
      <c r="BA608" s="3"/>
      <c r="BB608" s="3"/>
      <c r="BC608" s="3"/>
      <c r="BD608" s="3"/>
      <c r="BE608" s="1395">
        <f t="shared" si="1"/>
        <v>0</v>
      </c>
      <c r="BF608" s="1397"/>
      <c r="BG608" s="1414">
        <f t="shared" si="2"/>
        <v>0</v>
      </c>
      <c r="BH608" s="1415"/>
      <c r="BI608" s="1395">
        <f t="shared" si="3"/>
        <v>0</v>
      </c>
      <c r="BJ608" s="1397"/>
      <c r="BK608" s="1414">
        <f t="shared" si="4"/>
        <v>0</v>
      </c>
      <c r="BL608" s="1415"/>
      <c r="BM608" s="3"/>
      <c r="BN608" s="1406">
        <f t="shared" si="5"/>
        <v>0</v>
      </c>
      <c r="BO608" s="1407"/>
      <c r="BP608" s="1407"/>
      <c r="BQ608" s="1407"/>
      <c r="BR608" s="1408"/>
      <c r="BS608" s="1409">
        <f t="shared" si="6"/>
        <v>0</v>
      </c>
      <c r="BT608" s="1409"/>
      <c r="BU608" s="1409"/>
      <c r="BV608" s="1409"/>
      <c r="BW608" s="1409"/>
      <c r="BX608" s="1409">
        <f t="shared" si="7"/>
        <v>4</v>
      </c>
      <c r="BY608" s="1409"/>
      <c r="BZ608" s="1409"/>
      <c r="CA608" s="1409"/>
      <c r="CB608" s="1409"/>
      <c r="CC608" s="1409">
        <f t="shared" si="8"/>
        <v>0</v>
      </c>
      <c r="CD608" s="1409"/>
      <c r="CE608" s="1409"/>
      <c r="CF608" s="1409"/>
      <c r="CG608" s="1409"/>
      <c r="CH608" s="1409">
        <f t="shared" si="9"/>
        <v>0</v>
      </c>
      <c r="CI608" s="1409"/>
      <c r="CJ608" s="1409"/>
      <c r="CK608" s="1409"/>
      <c r="CL608" s="1409"/>
      <c r="CM608" s="1409">
        <f t="shared" si="10"/>
        <v>0</v>
      </c>
      <c r="CN608" s="1409"/>
      <c r="CO608" s="1409"/>
      <c r="CP608" s="1409"/>
      <c r="CQ608" s="1409"/>
      <c r="CR608" s="6"/>
      <c r="CS608" s="1405">
        <f t="shared" si="11"/>
        <v>0</v>
      </c>
      <c r="CT608" s="1405"/>
      <c r="CU608" s="1405"/>
      <c r="CV608" s="1405"/>
      <c r="CW608" s="1405"/>
      <c r="CX608" s="1405">
        <f t="shared" si="12"/>
        <v>0</v>
      </c>
      <c r="CY608" s="1405"/>
      <c r="CZ608" s="1405"/>
      <c r="DA608" s="1405"/>
      <c r="DB608" s="1405"/>
      <c r="DC608" s="1405">
        <f t="shared" si="13"/>
        <v>0</v>
      </c>
      <c r="DD608" s="1405"/>
      <c r="DE608" s="1405"/>
      <c r="DF608" s="1405"/>
      <c r="DG608" s="1405"/>
      <c r="DH608" s="1405">
        <f t="shared" si="14"/>
        <v>0</v>
      </c>
      <c r="DI608" s="1405"/>
      <c r="DJ608" s="1405"/>
      <c r="DK608" s="1405"/>
      <c r="DL608" s="1405"/>
      <c r="DM608" s="1405">
        <f t="shared" si="15"/>
        <v>0</v>
      </c>
      <c r="DN608" s="1405"/>
      <c r="DO608" s="1405"/>
      <c r="DP608" s="1405"/>
      <c r="DQ608" s="1405"/>
      <c r="DR608" s="1405">
        <f t="shared" si="16"/>
        <v>0</v>
      </c>
      <c r="DS608" s="1405"/>
      <c r="DT608" s="1405"/>
      <c r="DU608" s="1405"/>
      <c r="DV608" s="1405"/>
      <c r="DX608" s="1395" t="str">
        <f t="shared" si="17"/>
        <v/>
      </c>
      <c r="DY608" s="1396"/>
      <c r="DZ608" s="1396"/>
      <c r="EA608" s="1396"/>
      <c r="EB608" s="1397"/>
      <c r="EC608" s="1395" t="str">
        <f t="shared" si="18"/>
        <v/>
      </c>
      <c r="ED608" s="1396"/>
      <c r="EE608" s="1396"/>
      <c r="EF608" s="1396"/>
      <c r="EG608" s="1397"/>
      <c r="EH608" s="1395">
        <f t="shared" si="19"/>
        <v>2034</v>
      </c>
      <c r="EI608" s="1396"/>
      <c r="EJ608" s="1396"/>
      <c r="EK608" s="1396"/>
      <c r="EL608" s="1397"/>
      <c r="EM608" s="1395" t="str">
        <f t="shared" si="20"/>
        <v/>
      </c>
      <c r="EN608" s="1396"/>
      <c r="EO608" s="1396"/>
      <c r="EP608" s="1396"/>
      <c r="EQ608" s="1397"/>
      <c r="ER608" s="1395" t="str">
        <f t="shared" si="21"/>
        <v/>
      </c>
      <c r="ES608" s="1396"/>
      <c r="ET608" s="1396"/>
      <c r="EU608" s="1396"/>
      <c r="EV608" s="1397"/>
      <c r="EW608" s="1395" t="str">
        <f t="shared" si="22"/>
        <v/>
      </c>
      <c r="EX608" s="1396"/>
      <c r="EY608" s="1396"/>
      <c r="EZ608" s="1396"/>
      <c r="FA608" s="1397"/>
    </row>
    <row r="609" spans="1:157" ht="12.95" customHeight="1">
      <c r="A609" s="55" t="s">
        <v>363</v>
      </c>
      <c r="B609" t="s">
        <v>472</v>
      </c>
      <c r="G609" s="1536">
        <f>C564</f>
        <v>0</v>
      </c>
      <c r="H609" s="1536"/>
      <c r="I609" s="1536"/>
      <c r="J609" s="1536"/>
      <c r="K609" s="1536"/>
      <c r="L609" s="1536"/>
      <c r="M609" s="1536"/>
      <c r="N609" s="1536"/>
      <c r="O609" s="1536"/>
      <c r="P609" s="1536"/>
      <c r="Q609" s="1536"/>
      <c r="R609" s="1536"/>
      <c r="T609" s="55" t="s">
        <v>364</v>
      </c>
      <c r="U609" t="s">
        <v>472</v>
      </c>
      <c r="Z609" s="1536">
        <f>C565</f>
        <v>0</v>
      </c>
      <c r="AA609" s="1536"/>
      <c r="AB609" s="1536"/>
      <c r="AC609" s="1536"/>
      <c r="AD609" s="1536"/>
      <c r="AE609" s="1536"/>
      <c r="AF609" s="1536"/>
      <c r="AG609" s="1536"/>
      <c r="AH609" s="1536"/>
      <c r="AI609" s="1536"/>
      <c r="AJ609" s="1536"/>
      <c r="AK609" s="1536"/>
      <c r="AZ609" s="3"/>
      <c r="BA609" s="3"/>
      <c r="BB609" s="3"/>
      <c r="BC609" s="3"/>
      <c r="BD609" s="3"/>
      <c r="BE609" s="1395">
        <f t="shared" si="1"/>
        <v>0</v>
      </c>
      <c r="BF609" s="1397"/>
      <c r="BG609" s="1414">
        <f t="shared" si="2"/>
        <v>0</v>
      </c>
      <c r="BH609" s="1415"/>
      <c r="BI609" s="1395">
        <f t="shared" si="3"/>
        <v>0</v>
      </c>
      <c r="BJ609" s="1397"/>
      <c r="BK609" s="1414">
        <f t="shared" si="4"/>
        <v>0</v>
      </c>
      <c r="BL609" s="1415"/>
      <c r="BM609" s="3"/>
      <c r="BN609" s="1406">
        <f t="shared" si="5"/>
        <v>0</v>
      </c>
      <c r="BO609" s="1407"/>
      <c r="BP609" s="1407"/>
      <c r="BQ609" s="1407"/>
      <c r="BR609" s="1408"/>
      <c r="BS609" s="1409">
        <f t="shared" si="6"/>
        <v>0</v>
      </c>
      <c r="BT609" s="1409"/>
      <c r="BU609" s="1409"/>
      <c r="BV609" s="1409"/>
      <c r="BW609" s="1409"/>
      <c r="BX609" s="1409">
        <f t="shared" si="7"/>
        <v>10</v>
      </c>
      <c r="BY609" s="1409"/>
      <c r="BZ609" s="1409"/>
      <c r="CA609" s="1409"/>
      <c r="CB609" s="1409"/>
      <c r="CC609" s="1409">
        <f t="shared" si="8"/>
        <v>0</v>
      </c>
      <c r="CD609" s="1409"/>
      <c r="CE609" s="1409"/>
      <c r="CF609" s="1409"/>
      <c r="CG609" s="1409"/>
      <c r="CH609" s="1409">
        <f t="shared" si="9"/>
        <v>0</v>
      </c>
      <c r="CI609" s="1409"/>
      <c r="CJ609" s="1409"/>
      <c r="CK609" s="1409"/>
      <c r="CL609" s="1409"/>
      <c r="CM609" s="1409">
        <f t="shared" si="10"/>
        <v>0</v>
      </c>
      <c r="CN609" s="1409"/>
      <c r="CO609" s="1409"/>
      <c r="CP609" s="1409"/>
      <c r="CQ609" s="1409"/>
      <c r="CR609" s="6"/>
      <c r="CS609" s="1405">
        <f t="shared" si="11"/>
        <v>0</v>
      </c>
      <c r="CT609" s="1405"/>
      <c r="CU609" s="1405"/>
      <c r="CV609" s="1405"/>
      <c r="CW609" s="1405"/>
      <c r="CX609" s="1405">
        <f t="shared" si="12"/>
        <v>0</v>
      </c>
      <c r="CY609" s="1405"/>
      <c r="CZ609" s="1405"/>
      <c r="DA609" s="1405"/>
      <c r="DB609" s="1405"/>
      <c r="DC609" s="1405">
        <f t="shared" si="13"/>
        <v>0</v>
      </c>
      <c r="DD609" s="1405"/>
      <c r="DE609" s="1405"/>
      <c r="DF609" s="1405"/>
      <c r="DG609" s="1405"/>
      <c r="DH609" s="1405">
        <f t="shared" si="14"/>
        <v>0</v>
      </c>
      <c r="DI609" s="1405"/>
      <c r="DJ609" s="1405"/>
      <c r="DK609" s="1405"/>
      <c r="DL609" s="1405"/>
      <c r="DM609" s="1405">
        <f t="shared" si="15"/>
        <v>0</v>
      </c>
      <c r="DN609" s="1405"/>
      <c r="DO609" s="1405"/>
      <c r="DP609" s="1405"/>
      <c r="DQ609" s="1405"/>
      <c r="DR609" s="1405">
        <f t="shared" si="16"/>
        <v>0</v>
      </c>
      <c r="DS609" s="1405"/>
      <c r="DT609" s="1405"/>
      <c r="DU609" s="1405"/>
      <c r="DV609" s="1405"/>
      <c r="DX609" s="1395" t="str">
        <f t="shared" si="17"/>
        <v/>
      </c>
      <c r="DY609" s="1396"/>
      <c r="DZ609" s="1396"/>
      <c r="EA609" s="1396"/>
      <c r="EB609" s="1397"/>
      <c r="EC609" s="1395" t="str">
        <f t="shared" si="18"/>
        <v/>
      </c>
      <c r="ED609" s="1396"/>
      <c r="EE609" s="1396"/>
      <c r="EF609" s="1396"/>
      <c r="EG609" s="1397"/>
      <c r="EH609" s="1395">
        <f t="shared" si="19"/>
        <v>2650</v>
      </c>
      <c r="EI609" s="1396"/>
      <c r="EJ609" s="1396"/>
      <c r="EK609" s="1396"/>
      <c r="EL609" s="1397"/>
      <c r="EM609" s="1395" t="str">
        <f t="shared" si="20"/>
        <v/>
      </c>
      <c r="EN609" s="1396"/>
      <c r="EO609" s="1396"/>
      <c r="EP609" s="1396"/>
      <c r="EQ609" s="1397"/>
      <c r="ER609" s="1395" t="str">
        <f t="shared" si="21"/>
        <v/>
      </c>
      <c r="ES609" s="1396"/>
      <c r="ET609" s="1396"/>
      <c r="EU609" s="1396"/>
      <c r="EV609" s="1397"/>
      <c r="EW609" s="1395" t="str">
        <f t="shared" si="22"/>
        <v/>
      </c>
      <c r="EX609" s="1396"/>
      <c r="EY609" s="1396"/>
      <c r="EZ609" s="1396"/>
      <c r="FA609" s="1397"/>
    </row>
    <row r="610" spans="1:157" ht="12.95" customHeight="1">
      <c r="B610" t="s">
        <v>85</v>
      </c>
      <c r="G610" s="1398"/>
      <c r="H610" s="1398"/>
      <c r="I610" s="1398"/>
      <c r="J610" s="1398"/>
      <c r="K610" s="1398"/>
      <c r="L610" s="1398"/>
      <c r="M610" s="1398"/>
      <c r="N610" s="1398"/>
      <c r="O610" s="1398"/>
      <c r="P610" s="1398"/>
      <c r="Q610" s="1398"/>
      <c r="R610" s="1398"/>
      <c r="U610" t="s">
        <v>85</v>
      </c>
      <c r="Z610" s="1398"/>
      <c r="AA610" s="1398"/>
      <c r="AB610" s="1398"/>
      <c r="AC610" s="1398"/>
      <c r="AD610" s="1398"/>
      <c r="AE610" s="1398"/>
      <c r="AF610" s="1398"/>
      <c r="AG610" s="1398"/>
      <c r="AH610" s="1398"/>
      <c r="AI610" s="1398"/>
      <c r="AJ610" s="1398"/>
      <c r="AK610" s="1398"/>
      <c r="AZ610" s="3"/>
      <c r="BA610" s="3"/>
      <c r="BB610" s="3"/>
      <c r="BC610" s="3"/>
      <c r="BD610" s="3"/>
      <c r="BE610" s="1395">
        <f t="shared" si="1"/>
        <v>0</v>
      </c>
      <c r="BF610" s="1397"/>
      <c r="BG610" s="1414">
        <f t="shared" si="2"/>
        <v>0</v>
      </c>
      <c r="BH610" s="1415"/>
      <c r="BI610" s="1395">
        <f t="shared" si="3"/>
        <v>1</v>
      </c>
      <c r="BJ610" s="1397"/>
      <c r="BK610" s="1414">
        <f t="shared" si="4"/>
        <v>1</v>
      </c>
      <c r="BL610" s="1415"/>
      <c r="BM610" s="3"/>
      <c r="BN610" s="1406">
        <f t="shared" si="5"/>
        <v>0</v>
      </c>
      <c r="BO610" s="1407"/>
      <c r="BP610" s="1407"/>
      <c r="BQ610" s="1407"/>
      <c r="BR610" s="1408"/>
      <c r="BS610" s="1409">
        <f t="shared" si="6"/>
        <v>0</v>
      </c>
      <c r="BT610" s="1409"/>
      <c r="BU610" s="1409"/>
      <c r="BV610" s="1409"/>
      <c r="BW610" s="1409"/>
      <c r="BX610" s="1409">
        <f t="shared" si="7"/>
        <v>0</v>
      </c>
      <c r="BY610" s="1409"/>
      <c r="BZ610" s="1409"/>
      <c r="CA610" s="1409"/>
      <c r="CB610" s="1409"/>
      <c r="CC610" s="1409">
        <f t="shared" si="8"/>
        <v>1</v>
      </c>
      <c r="CD610" s="1409"/>
      <c r="CE610" s="1409"/>
      <c r="CF610" s="1409"/>
      <c r="CG610" s="1409"/>
      <c r="CH610" s="1409">
        <f t="shared" si="9"/>
        <v>0</v>
      </c>
      <c r="CI610" s="1409"/>
      <c r="CJ610" s="1409"/>
      <c r="CK610" s="1409"/>
      <c r="CL610" s="1409"/>
      <c r="CM610" s="1409">
        <f t="shared" si="10"/>
        <v>0</v>
      </c>
      <c r="CN610" s="1409"/>
      <c r="CO610" s="1409"/>
      <c r="CP610" s="1409"/>
      <c r="CQ610" s="1409"/>
      <c r="CR610" s="6"/>
      <c r="CS610" s="1405">
        <f t="shared" si="11"/>
        <v>0</v>
      </c>
      <c r="CT610" s="1405"/>
      <c r="CU610" s="1405"/>
      <c r="CV610" s="1405"/>
      <c r="CW610" s="1405"/>
      <c r="CX610" s="1405">
        <f t="shared" si="12"/>
        <v>0</v>
      </c>
      <c r="CY610" s="1405"/>
      <c r="CZ610" s="1405"/>
      <c r="DA610" s="1405"/>
      <c r="DB610" s="1405"/>
      <c r="DC610" s="1405">
        <f t="shared" si="13"/>
        <v>0</v>
      </c>
      <c r="DD610" s="1405"/>
      <c r="DE610" s="1405"/>
      <c r="DF610" s="1405"/>
      <c r="DG610" s="1405"/>
      <c r="DH610" s="1405">
        <f t="shared" si="14"/>
        <v>1</v>
      </c>
      <c r="DI610" s="1405"/>
      <c r="DJ610" s="1405"/>
      <c r="DK610" s="1405"/>
      <c r="DL610" s="1405"/>
      <c r="DM610" s="1405">
        <f t="shared" si="15"/>
        <v>0</v>
      </c>
      <c r="DN610" s="1405"/>
      <c r="DO610" s="1405"/>
      <c r="DP610" s="1405"/>
      <c r="DQ610" s="1405"/>
      <c r="DR610" s="1405">
        <f t="shared" si="16"/>
        <v>0</v>
      </c>
      <c r="DS610" s="1405"/>
      <c r="DT610" s="1405"/>
      <c r="DU610" s="1405"/>
      <c r="DV610" s="1405"/>
      <c r="DX610" s="1395" t="str">
        <f t="shared" si="17"/>
        <v/>
      </c>
      <c r="DY610" s="1396"/>
      <c r="DZ610" s="1396"/>
      <c r="EA610" s="1396"/>
      <c r="EB610" s="1397"/>
      <c r="EC610" s="1395" t="str">
        <f t="shared" si="18"/>
        <v/>
      </c>
      <c r="ED610" s="1396"/>
      <c r="EE610" s="1396"/>
      <c r="EF610" s="1396"/>
      <c r="EG610" s="1397"/>
      <c r="EH610" s="1395" t="str">
        <f t="shared" si="19"/>
        <v/>
      </c>
      <c r="EI610" s="1396"/>
      <c r="EJ610" s="1396"/>
      <c r="EK610" s="1396"/>
      <c r="EL610" s="1397"/>
      <c r="EM610" s="1395">
        <f t="shared" si="20"/>
        <v>1170</v>
      </c>
      <c r="EN610" s="1396"/>
      <c r="EO610" s="1396"/>
      <c r="EP610" s="1396"/>
      <c r="EQ610" s="1397"/>
      <c r="ER610" s="1395" t="str">
        <f t="shared" si="21"/>
        <v/>
      </c>
      <c r="ES610" s="1396"/>
      <c r="ET610" s="1396"/>
      <c r="EU610" s="1396"/>
      <c r="EV610" s="1397"/>
      <c r="EW610" s="1395" t="str">
        <f t="shared" si="22"/>
        <v/>
      </c>
      <c r="EX610" s="1396"/>
      <c r="EY610" s="1396"/>
      <c r="EZ610" s="1396"/>
      <c r="FA610" s="1397"/>
    </row>
    <row r="611" spans="1:157" ht="12.95" customHeight="1">
      <c r="B611" t="s">
        <v>589</v>
      </c>
      <c r="G611" s="1398"/>
      <c r="H611" s="1398"/>
      <c r="I611" s="1398"/>
      <c r="J611" s="1398"/>
      <c r="K611" s="1398"/>
      <c r="L611" s="1398"/>
      <c r="M611" s="1398"/>
      <c r="N611" s="1398"/>
      <c r="O611" s="1398"/>
      <c r="P611" s="1398"/>
      <c r="Q611" s="1398"/>
      <c r="R611" s="1398"/>
      <c r="U611" t="s">
        <v>589</v>
      </c>
      <c r="Z611" s="1404"/>
      <c r="AA611" s="1404"/>
      <c r="AB611" s="1404"/>
      <c r="AC611" s="1404"/>
      <c r="AD611" s="1404"/>
      <c r="AE611" s="1404"/>
      <c r="AF611" s="1404"/>
      <c r="AG611" s="1404"/>
      <c r="AH611" s="1404"/>
      <c r="AI611" s="1404"/>
      <c r="AJ611" s="1404"/>
      <c r="AK611" s="1404"/>
      <c r="AZ611" s="3"/>
      <c r="BA611" s="3"/>
      <c r="BB611" s="3"/>
      <c r="BC611" s="3"/>
      <c r="BD611" s="3"/>
      <c r="BE611" s="1395">
        <f t="shared" si="1"/>
        <v>0</v>
      </c>
      <c r="BF611" s="1397"/>
      <c r="BG611" s="1414">
        <f t="shared" si="2"/>
        <v>0</v>
      </c>
      <c r="BH611" s="1415"/>
      <c r="BI611" s="1395">
        <f t="shared" si="3"/>
        <v>1</v>
      </c>
      <c r="BJ611" s="1397"/>
      <c r="BK611" s="1414">
        <f t="shared" si="4"/>
        <v>4</v>
      </c>
      <c r="BL611" s="1415"/>
      <c r="BM611" s="3"/>
      <c r="BN611" s="1406">
        <f t="shared" si="5"/>
        <v>0</v>
      </c>
      <c r="BO611" s="1407"/>
      <c r="BP611" s="1407"/>
      <c r="BQ611" s="1407"/>
      <c r="BR611" s="1408"/>
      <c r="BS611" s="1409">
        <f t="shared" si="6"/>
        <v>0</v>
      </c>
      <c r="BT611" s="1409"/>
      <c r="BU611" s="1409"/>
      <c r="BV611" s="1409"/>
      <c r="BW611" s="1409"/>
      <c r="BX611" s="1409">
        <f t="shared" si="7"/>
        <v>0</v>
      </c>
      <c r="BY611" s="1409"/>
      <c r="BZ611" s="1409"/>
      <c r="CA611" s="1409"/>
      <c r="CB611" s="1409"/>
      <c r="CC611" s="1409">
        <f t="shared" si="8"/>
        <v>4</v>
      </c>
      <c r="CD611" s="1409"/>
      <c r="CE611" s="1409"/>
      <c r="CF611" s="1409"/>
      <c r="CG611" s="1409"/>
      <c r="CH611" s="1409">
        <f t="shared" si="9"/>
        <v>0</v>
      </c>
      <c r="CI611" s="1409"/>
      <c r="CJ611" s="1409"/>
      <c r="CK611" s="1409"/>
      <c r="CL611" s="1409"/>
      <c r="CM611" s="1409">
        <f t="shared" si="10"/>
        <v>0</v>
      </c>
      <c r="CN611" s="1409"/>
      <c r="CO611" s="1409"/>
      <c r="CP611" s="1409"/>
      <c r="CQ611" s="1409"/>
      <c r="CR611" s="6"/>
      <c r="CS611" s="1405">
        <f t="shared" si="11"/>
        <v>0</v>
      </c>
      <c r="CT611" s="1405"/>
      <c r="CU611" s="1405"/>
      <c r="CV611" s="1405"/>
      <c r="CW611" s="1405"/>
      <c r="CX611" s="1405">
        <f t="shared" si="12"/>
        <v>0</v>
      </c>
      <c r="CY611" s="1405"/>
      <c r="CZ611" s="1405"/>
      <c r="DA611" s="1405"/>
      <c r="DB611" s="1405"/>
      <c r="DC611" s="1405">
        <f t="shared" si="13"/>
        <v>0</v>
      </c>
      <c r="DD611" s="1405"/>
      <c r="DE611" s="1405"/>
      <c r="DF611" s="1405"/>
      <c r="DG611" s="1405"/>
      <c r="DH611" s="1405">
        <f t="shared" si="14"/>
        <v>4</v>
      </c>
      <c r="DI611" s="1405"/>
      <c r="DJ611" s="1405"/>
      <c r="DK611" s="1405"/>
      <c r="DL611" s="1405"/>
      <c r="DM611" s="1405">
        <f t="shared" si="15"/>
        <v>0</v>
      </c>
      <c r="DN611" s="1405"/>
      <c r="DO611" s="1405"/>
      <c r="DP611" s="1405"/>
      <c r="DQ611" s="1405"/>
      <c r="DR611" s="1405">
        <f t="shared" si="16"/>
        <v>0</v>
      </c>
      <c r="DS611" s="1405"/>
      <c r="DT611" s="1405"/>
      <c r="DU611" s="1405"/>
      <c r="DV611" s="1405"/>
      <c r="DX611" s="1395" t="str">
        <f t="shared" si="17"/>
        <v/>
      </c>
      <c r="DY611" s="1396"/>
      <c r="DZ611" s="1396"/>
      <c r="EA611" s="1396"/>
      <c r="EB611" s="1397"/>
      <c r="EC611" s="1395" t="str">
        <f t="shared" si="18"/>
        <v/>
      </c>
      <c r="ED611" s="1396"/>
      <c r="EE611" s="1396"/>
      <c r="EF611" s="1396"/>
      <c r="EG611" s="1397"/>
      <c r="EH611" s="1395" t="str">
        <f t="shared" si="19"/>
        <v/>
      </c>
      <c r="EI611" s="1396"/>
      <c r="EJ611" s="1396"/>
      <c r="EK611" s="1396"/>
      <c r="EL611" s="1397"/>
      <c r="EM611" s="1395">
        <f t="shared" si="20"/>
        <v>1170</v>
      </c>
      <c r="EN611" s="1396"/>
      <c r="EO611" s="1396"/>
      <c r="EP611" s="1396"/>
      <c r="EQ611" s="1397"/>
      <c r="ER611" s="1395" t="str">
        <f t="shared" si="21"/>
        <v/>
      </c>
      <c r="ES611" s="1396"/>
      <c r="ET611" s="1396"/>
      <c r="EU611" s="1396"/>
      <c r="EV611" s="1397"/>
      <c r="EW611" s="1395" t="str">
        <f t="shared" si="22"/>
        <v/>
      </c>
      <c r="EX611" s="1396"/>
      <c r="EY611" s="1396"/>
      <c r="EZ611" s="1396"/>
      <c r="FA611" s="1397"/>
    </row>
    <row r="612" spans="1:157" ht="12.95" customHeight="1">
      <c r="B612" t="s">
        <v>17</v>
      </c>
      <c r="G612" s="1398"/>
      <c r="H612" s="1398"/>
      <c r="I612" s="1398"/>
      <c r="J612" s="1398"/>
      <c r="K612" s="1398"/>
      <c r="L612" s="1398"/>
      <c r="M612" s="1398"/>
      <c r="N612" s="1398"/>
      <c r="O612" s="1398"/>
      <c r="P612" s="1398"/>
      <c r="Q612" s="1398"/>
      <c r="R612" s="1398"/>
      <c r="U612" t="s">
        <v>17</v>
      </c>
      <c r="Z612" s="1404"/>
      <c r="AA612" s="1404"/>
      <c r="AB612" s="1404"/>
      <c r="AC612" s="1404"/>
      <c r="AD612" s="1404"/>
      <c r="AE612" s="1404"/>
      <c r="AF612" s="1404"/>
      <c r="AG612" s="1404"/>
      <c r="AH612" s="1404"/>
      <c r="AI612" s="1404"/>
      <c r="AJ612" s="1404"/>
      <c r="AK612" s="1404"/>
      <c r="AZ612" s="3"/>
      <c r="BA612" s="3"/>
      <c r="BB612" s="3"/>
      <c r="BC612" s="3"/>
      <c r="BD612" s="3"/>
      <c r="BE612" s="1395">
        <f t="shared" si="1"/>
        <v>1</v>
      </c>
      <c r="BF612" s="1397"/>
      <c r="BG612" s="1414">
        <f t="shared" si="2"/>
        <v>7</v>
      </c>
      <c r="BH612" s="1415"/>
      <c r="BI612" s="1395">
        <f t="shared" si="3"/>
        <v>0</v>
      </c>
      <c r="BJ612" s="1397"/>
      <c r="BK612" s="1414">
        <f t="shared" si="4"/>
        <v>0</v>
      </c>
      <c r="BL612" s="1415"/>
      <c r="BM612" s="3"/>
      <c r="BN612" s="1406">
        <f t="shared" si="5"/>
        <v>0</v>
      </c>
      <c r="BO612" s="1407"/>
      <c r="BP612" s="1407"/>
      <c r="BQ612" s="1407"/>
      <c r="BR612" s="1408"/>
      <c r="BS612" s="1409">
        <f t="shared" si="6"/>
        <v>0</v>
      </c>
      <c r="BT612" s="1409"/>
      <c r="BU612" s="1409"/>
      <c r="BV612" s="1409"/>
      <c r="BW612" s="1409"/>
      <c r="BX612" s="1409">
        <f t="shared" si="7"/>
        <v>0</v>
      </c>
      <c r="BY612" s="1409"/>
      <c r="BZ612" s="1409"/>
      <c r="CA612" s="1409"/>
      <c r="CB612" s="1409"/>
      <c r="CC612" s="1409">
        <f t="shared" si="8"/>
        <v>7</v>
      </c>
      <c r="CD612" s="1409"/>
      <c r="CE612" s="1409"/>
      <c r="CF612" s="1409"/>
      <c r="CG612" s="1409"/>
      <c r="CH612" s="1409">
        <f t="shared" si="9"/>
        <v>0</v>
      </c>
      <c r="CI612" s="1409"/>
      <c r="CJ612" s="1409"/>
      <c r="CK612" s="1409"/>
      <c r="CL612" s="1409"/>
      <c r="CM612" s="1409">
        <f t="shared" si="10"/>
        <v>0</v>
      </c>
      <c r="CN612" s="1409"/>
      <c r="CO612" s="1409"/>
      <c r="CP612" s="1409"/>
      <c r="CQ612" s="1409"/>
      <c r="CR612" s="6"/>
      <c r="CS612" s="1405">
        <f t="shared" si="11"/>
        <v>0</v>
      </c>
      <c r="CT612" s="1405"/>
      <c r="CU612" s="1405"/>
      <c r="CV612" s="1405"/>
      <c r="CW612" s="1405"/>
      <c r="CX612" s="1405">
        <f t="shared" si="12"/>
        <v>0</v>
      </c>
      <c r="CY612" s="1405"/>
      <c r="CZ612" s="1405"/>
      <c r="DA612" s="1405"/>
      <c r="DB612" s="1405"/>
      <c r="DC612" s="1405">
        <f t="shared" si="13"/>
        <v>0</v>
      </c>
      <c r="DD612" s="1405"/>
      <c r="DE612" s="1405"/>
      <c r="DF612" s="1405"/>
      <c r="DG612" s="1405"/>
      <c r="DH612" s="1405">
        <f t="shared" si="14"/>
        <v>0</v>
      </c>
      <c r="DI612" s="1405"/>
      <c r="DJ612" s="1405"/>
      <c r="DK612" s="1405"/>
      <c r="DL612" s="1405"/>
      <c r="DM612" s="1405">
        <f t="shared" si="15"/>
        <v>0</v>
      </c>
      <c r="DN612" s="1405"/>
      <c r="DO612" s="1405"/>
      <c r="DP612" s="1405"/>
      <c r="DQ612" s="1405"/>
      <c r="DR612" s="1405">
        <f t="shared" si="16"/>
        <v>0</v>
      </c>
      <c r="DS612" s="1405"/>
      <c r="DT612" s="1405"/>
      <c r="DU612" s="1405"/>
      <c r="DV612" s="1405"/>
      <c r="DX612" s="1395" t="str">
        <f t="shared" si="17"/>
        <v/>
      </c>
      <c r="DY612" s="1396"/>
      <c r="DZ612" s="1396"/>
      <c r="EA612" s="1396"/>
      <c r="EB612" s="1397"/>
      <c r="EC612" s="1395" t="str">
        <f t="shared" si="18"/>
        <v/>
      </c>
      <c r="ED612" s="1396"/>
      <c r="EE612" s="1396"/>
      <c r="EF612" s="1396"/>
      <c r="EG612" s="1397"/>
      <c r="EH612" s="1395" t="str">
        <f t="shared" si="19"/>
        <v/>
      </c>
      <c r="EI612" s="1396"/>
      <c r="EJ612" s="1396"/>
      <c r="EK612" s="1396"/>
      <c r="EL612" s="1397"/>
      <c r="EM612" s="1395">
        <f t="shared" si="20"/>
        <v>1564</v>
      </c>
      <c r="EN612" s="1396"/>
      <c r="EO612" s="1396"/>
      <c r="EP612" s="1396"/>
      <c r="EQ612" s="1397"/>
      <c r="ER612" s="1395" t="str">
        <f t="shared" si="21"/>
        <v/>
      </c>
      <c r="ES612" s="1396"/>
      <c r="ET612" s="1396"/>
      <c r="EU612" s="1396"/>
      <c r="EV612" s="1397"/>
      <c r="EW612" s="1395" t="str">
        <f t="shared" si="22"/>
        <v/>
      </c>
      <c r="EX612" s="1396"/>
      <c r="EY612" s="1396"/>
      <c r="EZ612" s="1396"/>
      <c r="FA612" s="1397"/>
    </row>
    <row r="613" spans="1:157" ht="12.95" customHeight="1">
      <c r="B613" t="s">
        <v>317</v>
      </c>
      <c r="G613" s="1491"/>
      <c r="H613" s="1491"/>
      <c r="I613" s="1491"/>
      <c r="J613" s="1491"/>
      <c r="K613" s="1491"/>
      <c r="L613" s="1491"/>
      <c r="O613" s="33" t="s">
        <v>207</v>
      </c>
      <c r="P613" s="1402"/>
      <c r="Q613" s="1402"/>
      <c r="R613" s="1402"/>
      <c r="U613" t="s">
        <v>317</v>
      </c>
      <c r="Z613" s="1491"/>
      <c r="AA613" s="1491"/>
      <c r="AB613" s="1491"/>
      <c r="AC613" s="1491"/>
      <c r="AD613" s="1491"/>
      <c r="AE613" s="1491"/>
      <c r="AH613" s="33" t="s">
        <v>207</v>
      </c>
      <c r="AI613" s="1402"/>
      <c r="AJ613" s="1402"/>
      <c r="AK613" s="1402"/>
      <c r="AZ613" s="3"/>
      <c r="BA613" s="3"/>
      <c r="BB613" s="3"/>
      <c r="BC613" s="3"/>
      <c r="BD613" s="3"/>
      <c r="BE613" s="1395">
        <f t="shared" si="1"/>
        <v>1</v>
      </c>
      <c r="BF613" s="1397"/>
      <c r="BG613" s="1414">
        <f t="shared" si="2"/>
        <v>4</v>
      </c>
      <c r="BH613" s="1415"/>
      <c r="BI613" s="1395">
        <f t="shared" si="3"/>
        <v>0</v>
      </c>
      <c r="BJ613" s="1397"/>
      <c r="BK613" s="1414">
        <f t="shared" si="4"/>
        <v>0</v>
      </c>
      <c r="BL613" s="1415"/>
      <c r="BM613" s="3"/>
      <c r="BN613" s="1406">
        <f t="shared" si="5"/>
        <v>0</v>
      </c>
      <c r="BO613" s="1407"/>
      <c r="BP613" s="1407"/>
      <c r="BQ613" s="1407"/>
      <c r="BR613" s="1408"/>
      <c r="BS613" s="1409">
        <f t="shared" si="6"/>
        <v>0</v>
      </c>
      <c r="BT613" s="1409"/>
      <c r="BU613" s="1409"/>
      <c r="BV613" s="1409"/>
      <c r="BW613" s="1409"/>
      <c r="BX613" s="1409">
        <f t="shared" si="7"/>
        <v>0</v>
      </c>
      <c r="BY613" s="1409"/>
      <c r="BZ613" s="1409"/>
      <c r="CA613" s="1409"/>
      <c r="CB613" s="1409"/>
      <c r="CC613" s="1409">
        <f t="shared" si="8"/>
        <v>4</v>
      </c>
      <c r="CD613" s="1409"/>
      <c r="CE613" s="1409"/>
      <c r="CF613" s="1409"/>
      <c r="CG613" s="1409"/>
      <c r="CH613" s="1409">
        <f t="shared" si="9"/>
        <v>0</v>
      </c>
      <c r="CI613" s="1409"/>
      <c r="CJ613" s="1409"/>
      <c r="CK613" s="1409"/>
      <c r="CL613" s="1409"/>
      <c r="CM613" s="1409">
        <f t="shared" si="10"/>
        <v>0</v>
      </c>
      <c r="CN613" s="1409"/>
      <c r="CO613" s="1409"/>
      <c r="CP613" s="1409"/>
      <c r="CQ613" s="1409"/>
      <c r="CR613" s="6"/>
      <c r="CS613" s="1405">
        <f t="shared" si="11"/>
        <v>0</v>
      </c>
      <c r="CT613" s="1405"/>
      <c r="CU613" s="1405"/>
      <c r="CV613" s="1405"/>
      <c r="CW613" s="1405"/>
      <c r="CX613" s="1405">
        <f t="shared" si="12"/>
        <v>0</v>
      </c>
      <c r="CY613" s="1405"/>
      <c r="CZ613" s="1405"/>
      <c r="DA613" s="1405"/>
      <c r="DB613" s="1405"/>
      <c r="DC613" s="1405">
        <f t="shared" si="13"/>
        <v>0</v>
      </c>
      <c r="DD613" s="1405"/>
      <c r="DE613" s="1405"/>
      <c r="DF613" s="1405"/>
      <c r="DG613" s="1405"/>
      <c r="DH613" s="1405">
        <f t="shared" si="14"/>
        <v>0</v>
      </c>
      <c r="DI613" s="1405"/>
      <c r="DJ613" s="1405"/>
      <c r="DK613" s="1405"/>
      <c r="DL613" s="1405"/>
      <c r="DM613" s="1405">
        <f t="shared" si="15"/>
        <v>0</v>
      </c>
      <c r="DN613" s="1405"/>
      <c r="DO613" s="1405"/>
      <c r="DP613" s="1405"/>
      <c r="DQ613" s="1405"/>
      <c r="DR613" s="1405">
        <f t="shared" si="16"/>
        <v>0</v>
      </c>
      <c r="DS613" s="1405"/>
      <c r="DT613" s="1405"/>
      <c r="DU613" s="1405"/>
      <c r="DV613" s="1405"/>
      <c r="DX613" s="1395" t="str">
        <f t="shared" si="17"/>
        <v/>
      </c>
      <c r="DY613" s="1396"/>
      <c r="DZ613" s="1396"/>
      <c r="EA613" s="1396"/>
      <c r="EB613" s="1397"/>
      <c r="EC613" s="1395" t="str">
        <f t="shared" si="18"/>
        <v/>
      </c>
      <c r="ED613" s="1396"/>
      <c r="EE613" s="1396"/>
      <c r="EF613" s="1396"/>
      <c r="EG613" s="1397"/>
      <c r="EH613" s="1395" t="str">
        <f t="shared" si="19"/>
        <v/>
      </c>
      <c r="EI613" s="1396"/>
      <c r="EJ613" s="1396"/>
      <c r="EK613" s="1396"/>
      <c r="EL613" s="1397"/>
      <c r="EM613" s="1395">
        <f t="shared" si="20"/>
        <v>1958</v>
      </c>
      <c r="EN613" s="1396"/>
      <c r="EO613" s="1396"/>
      <c r="EP613" s="1396"/>
      <c r="EQ613" s="1397"/>
      <c r="ER613" s="1395" t="str">
        <f t="shared" si="21"/>
        <v/>
      </c>
      <c r="ES613" s="1396"/>
      <c r="ET613" s="1396"/>
      <c r="EU613" s="1396"/>
      <c r="EV613" s="1397"/>
      <c r="EW613" s="1395" t="str">
        <f t="shared" si="22"/>
        <v/>
      </c>
      <c r="EX613" s="1396"/>
      <c r="EY613" s="1396"/>
      <c r="EZ613" s="1396"/>
      <c r="FA613" s="1397"/>
    </row>
    <row r="614" spans="1:157" ht="12.95" customHeight="1">
      <c r="B614" t="s">
        <v>18</v>
      </c>
      <c r="H614" s="1398"/>
      <c r="I614" s="1398"/>
      <c r="J614" s="1398"/>
      <c r="K614" s="1398"/>
      <c r="L614" s="1398"/>
      <c r="M614" s="1398"/>
      <c r="N614" s="1398"/>
      <c r="O614" s="1398"/>
      <c r="P614" s="1398"/>
      <c r="Q614" s="1398"/>
      <c r="R614" s="1398"/>
      <c r="U614" t="s">
        <v>18</v>
      </c>
      <c r="AA614" s="1398"/>
      <c r="AB614" s="1398"/>
      <c r="AC614" s="1398"/>
      <c r="AD614" s="1398"/>
      <c r="AE614" s="1398"/>
      <c r="AF614" s="1398"/>
      <c r="AG614" s="1398"/>
      <c r="AH614" s="1398"/>
      <c r="AI614" s="1398"/>
      <c r="AJ614" s="1398"/>
      <c r="AK614" s="1398"/>
      <c r="AU614" s="934"/>
      <c r="AV614" s="934"/>
      <c r="AW614" s="934"/>
      <c r="AX614" s="934"/>
      <c r="AY614" s="934"/>
      <c r="AZ614" s="3"/>
      <c r="BA614" s="3"/>
      <c r="BB614" s="3"/>
      <c r="BC614" s="3"/>
      <c r="BD614" s="3"/>
      <c r="BE614" s="1395">
        <f t="shared" si="1"/>
        <v>0</v>
      </c>
      <c r="BF614" s="1397"/>
      <c r="BG614" s="1414">
        <f t="shared" si="2"/>
        <v>0</v>
      </c>
      <c r="BH614" s="1415"/>
      <c r="BI614" s="1395">
        <f t="shared" si="3"/>
        <v>0</v>
      </c>
      <c r="BJ614" s="1397"/>
      <c r="BK614" s="1414">
        <f t="shared" si="4"/>
        <v>0</v>
      </c>
      <c r="BL614" s="1415"/>
      <c r="BM614" s="3"/>
      <c r="BN614" s="1406">
        <f t="shared" si="5"/>
        <v>0</v>
      </c>
      <c r="BO614" s="1407"/>
      <c r="BP614" s="1407"/>
      <c r="BQ614" s="1407"/>
      <c r="BR614" s="1408"/>
      <c r="BS614" s="1409">
        <f t="shared" si="6"/>
        <v>0</v>
      </c>
      <c r="BT614" s="1409"/>
      <c r="BU614" s="1409"/>
      <c r="BV614" s="1409"/>
      <c r="BW614" s="1409"/>
      <c r="BX614" s="1409">
        <f t="shared" si="7"/>
        <v>0</v>
      </c>
      <c r="BY614" s="1409"/>
      <c r="BZ614" s="1409"/>
      <c r="CA614" s="1409"/>
      <c r="CB614" s="1409"/>
      <c r="CC614" s="1409">
        <f t="shared" si="8"/>
        <v>16</v>
      </c>
      <c r="CD614" s="1409"/>
      <c r="CE614" s="1409"/>
      <c r="CF614" s="1409"/>
      <c r="CG614" s="1409"/>
      <c r="CH614" s="1409">
        <f t="shared" si="9"/>
        <v>0</v>
      </c>
      <c r="CI614" s="1409"/>
      <c r="CJ614" s="1409"/>
      <c r="CK614" s="1409"/>
      <c r="CL614" s="1409"/>
      <c r="CM614" s="1409">
        <f t="shared" si="10"/>
        <v>0</v>
      </c>
      <c r="CN614" s="1409"/>
      <c r="CO614" s="1409"/>
      <c r="CP614" s="1409"/>
      <c r="CQ614" s="1409"/>
      <c r="CR614" s="6"/>
      <c r="CS614" s="1405">
        <f t="shared" si="11"/>
        <v>0</v>
      </c>
      <c r="CT614" s="1405"/>
      <c r="CU614" s="1405"/>
      <c r="CV614" s="1405"/>
      <c r="CW614" s="1405"/>
      <c r="CX614" s="1405">
        <f t="shared" si="12"/>
        <v>0</v>
      </c>
      <c r="CY614" s="1405"/>
      <c r="CZ614" s="1405"/>
      <c r="DA614" s="1405"/>
      <c r="DB614" s="1405"/>
      <c r="DC614" s="1405">
        <f t="shared" si="13"/>
        <v>0</v>
      </c>
      <c r="DD614" s="1405"/>
      <c r="DE614" s="1405"/>
      <c r="DF614" s="1405"/>
      <c r="DG614" s="1405"/>
      <c r="DH614" s="1405">
        <f t="shared" si="14"/>
        <v>0</v>
      </c>
      <c r="DI614" s="1405"/>
      <c r="DJ614" s="1405"/>
      <c r="DK614" s="1405"/>
      <c r="DL614" s="1405"/>
      <c r="DM614" s="1405">
        <f t="shared" si="15"/>
        <v>0</v>
      </c>
      <c r="DN614" s="1405"/>
      <c r="DO614" s="1405"/>
      <c r="DP614" s="1405"/>
      <c r="DQ614" s="1405"/>
      <c r="DR614" s="1405">
        <f t="shared" si="16"/>
        <v>0</v>
      </c>
      <c r="DS614" s="1405"/>
      <c r="DT614" s="1405"/>
      <c r="DU614" s="1405"/>
      <c r="DV614" s="1405"/>
      <c r="DX614" s="1395" t="str">
        <f t="shared" si="17"/>
        <v/>
      </c>
      <c r="DY614" s="1396"/>
      <c r="DZ614" s="1396"/>
      <c r="EA614" s="1396"/>
      <c r="EB614" s="1397"/>
      <c r="EC614" s="1395" t="str">
        <f t="shared" si="18"/>
        <v/>
      </c>
      <c r="ED614" s="1396"/>
      <c r="EE614" s="1396"/>
      <c r="EF614" s="1396"/>
      <c r="EG614" s="1397"/>
      <c r="EH614" s="1395" t="str">
        <f t="shared" si="19"/>
        <v/>
      </c>
      <c r="EI614" s="1396"/>
      <c r="EJ614" s="1396"/>
      <c r="EK614" s="1396"/>
      <c r="EL614" s="1397"/>
      <c r="EM614" s="1395">
        <f t="shared" si="20"/>
        <v>2352</v>
      </c>
      <c r="EN614" s="1396"/>
      <c r="EO614" s="1396"/>
      <c r="EP614" s="1396"/>
      <c r="EQ614" s="1397"/>
      <c r="ER614" s="1395" t="str">
        <f t="shared" si="21"/>
        <v/>
      </c>
      <c r="ES614" s="1396"/>
      <c r="ET614" s="1396"/>
      <c r="EU614" s="1396"/>
      <c r="EV614" s="1397"/>
      <c r="EW614" s="1395" t="str">
        <f t="shared" si="22"/>
        <v/>
      </c>
      <c r="EX614" s="1396"/>
      <c r="EY614" s="1396"/>
      <c r="EZ614" s="1396"/>
      <c r="FA614" s="1397"/>
    </row>
    <row r="615" spans="1:157" ht="12.95" customHeight="1">
      <c r="B615" t="s">
        <v>20</v>
      </c>
      <c r="N615" s="1494" t="s">
        <v>678</v>
      </c>
      <c r="O615" s="1494"/>
      <c r="U615" t="s">
        <v>20</v>
      </c>
      <c r="AG615" s="1494" t="s">
        <v>678</v>
      </c>
      <c r="AH615" s="1494"/>
      <c r="AU615" s="934"/>
      <c r="AV615" s="934"/>
      <c r="AW615" s="934"/>
      <c r="AX615" s="934"/>
      <c r="AY615" s="934"/>
      <c r="AZ615" s="3"/>
      <c r="BA615" s="3"/>
      <c r="BB615" s="3"/>
      <c r="BC615" s="3"/>
      <c r="BD615" s="3"/>
      <c r="BE615" s="1395">
        <f t="shared" si="1"/>
        <v>0</v>
      </c>
      <c r="BF615" s="1397"/>
      <c r="BG615" s="1414">
        <f t="shared" si="2"/>
        <v>0</v>
      </c>
      <c r="BH615" s="1415"/>
      <c r="BI615" s="1395">
        <f t="shared" si="3"/>
        <v>0</v>
      </c>
      <c r="BJ615" s="1397"/>
      <c r="BK615" s="1414">
        <f t="shared" si="4"/>
        <v>0</v>
      </c>
      <c r="BL615" s="1415"/>
      <c r="BM615" s="3"/>
      <c r="BN615" s="1406">
        <f t="shared" si="5"/>
        <v>0</v>
      </c>
      <c r="BO615" s="1407"/>
      <c r="BP615" s="1407"/>
      <c r="BQ615" s="1407"/>
      <c r="BR615" s="1408"/>
      <c r="BS615" s="1409">
        <f t="shared" si="6"/>
        <v>0</v>
      </c>
      <c r="BT615" s="1409"/>
      <c r="BU615" s="1409"/>
      <c r="BV615" s="1409"/>
      <c r="BW615" s="1409"/>
      <c r="BX615" s="1409">
        <f t="shared" si="7"/>
        <v>0</v>
      </c>
      <c r="BY615" s="1409"/>
      <c r="BZ615" s="1409"/>
      <c r="CA615" s="1409"/>
      <c r="CB615" s="1409"/>
      <c r="CC615" s="1409">
        <f t="shared" si="8"/>
        <v>9</v>
      </c>
      <c r="CD615" s="1409"/>
      <c r="CE615" s="1409"/>
      <c r="CF615" s="1409"/>
      <c r="CG615" s="1409"/>
      <c r="CH615" s="1409">
        <f t="shared" si="9"/>
        <v>0</v>
      </c>
      <c r="CI615" s="1409"/>
      <c r="CJ615" s="1409"/>
      <c r="CK615" s="1409"/>
      <c r="CL615" s="1409"/>
      <c r="CM615" s="1409">
        <f t="shared" si="10"/>
        <v>0</v>
      </c>
      <c r="CN615" s="1409"/>
      <c r="CO615" s="1409"/>
      <c r="CP615" s="1409"/>
      <c r="CQ615" s="1409"/>
      <c r="CR615" s="6"/>
      <c r="CS615" s="1405">
        <f t="shared" si="11"/>
        <v>0</v>
      </c>
      <c r="CT615" s="1405"/>
      <c r="CU615" s="1405"/>
      <c r="CV615" s="1405"/>
      <c r="CW615" s="1405"/>
      <c r="CX615" s="1405">
        <f t="shared" si="12"/>
        <v>0</v>
      </c>
      <c r="CY615" s="1405"/>
      <c r="CZ615" s="1405"/>
      <c r="DA615" s="1405"/>
      <c r="DB615" s="1405"/>
      <c r="DC615" s="1405">
        <f t="shared" si="13"/>
        <v>0</v>
      </c>
      <c r="DD615" s="1405"/>
      <c r="DE615" s="1405"/>
      <c r="DF615" s="1405"/>
      <c r="DG615" s="1405"/>
      <c r="DH615" s="1405">
        <f t="shared" si="14"/>
        <v>0</v>
      </c>
      <c r="DI615" s="1405"/>
      <c r="DJ615" s="1405"/>
      <c r="DK615" s="1405"/>
      <c r="DL615" s="1405"/>
      <c r="DM615" s="1405">
        <f t="shared" si="15"/>
        <v>0</v>
      </c>
      <c r="DN615" s="1405"/>
      <c r="DO615" s="1405"/>
      <c r="DP615" s="1405"/>
      <c r="DQ615" s="1405"/>
      <c r="DR615" s="1405">
        <f t="shared" si="16"/>
        <v>0</v>
      </c>
      <c r="DS615" s="1405"/>
      <c r="DT615" s="1405"/>
      <c r="DU615" s="1405"/>
      <c r="DV615" s="1405"/>
      <c r="DX615" s="1395" t="str">
        <f t="shared" si="17"/>
        <v/>
      </c>
      <c r="DY615" s="1396"/>
      <c r="DZ615" s="1396"/>
      <c r="EA615" s="1396"/>
      <c r="EB615" s="1397"/>
      <c r="EC615" s="1395" t="str">
        <f t="shared" si="18"/>
        <v/>
      </c>
      <c r="ED615" s="1396"/>
      <c r="EE615" s="1396"/>
      <c r="EF615" s="1396"/>
      <c r="EG615" s="1397"/>
      <c r="EH615" s="1395" t="str">
        <f t="shared" si="19"/>
        <v/>
      </c>
      <c r="EI615" s="1396"/>
      <c r="EJ615" s="1396"/>
      <c r="EK615" s="1396"/>
      <c r="EL615" s="1397"/>
      <c r="EM615" s="1395">
        <f t="shared" si="20"/>
        <v>2750</v>
      </c>
      <c r="EN615" s="1396"/>
      <c r="EO615" s="1396"/>
      <c r="EP615" s="1396"/>
      <c r="EQ615" s="1397"/>
      <c r="ER615" s="1395" t="str">
        <f t="shared" si="21"/>
        <v/>
      </c>
      <c r="ES615" s="1396"/>
      <c r="ET615" s="1396"/>
      <c r="EU615" s="1396"/>
      <c r="EV615" s="1397"/>
      <c r="EW615" s="1395" t="str">
        <f t="shared" si="22"/>
        <v/>
      </c>
      <c r="EX615" s="1396"/>
      <c r="EY615" s="1396"/>
      <c r="EZ615" s="1396"/>
      <c r="FA615" s="1397"/>
    </row>
    <row r="616" spans="1:157" ht="12.95" customHeight="1">
      <c r="AZ616" s="3"/>
      <c r="BA616" s="3"/>
      <c r="BB616" s="3"/>
      <c r="BC616" s="3"/>
      <c r="BD616" s="3"/>
      <c r="BE616" s="1395">
        <f t="shared" si="1"/>
        <v>0</v>
      </c>
      <c r="BF616" s="1397"/>
      <c r="BG616" s="1414">
        <f t="shared" si="2"/>
        <v>0</v>
      </c>
      <c r="BH616" s="1415"/>
      <c r="BI616" s="1395">
        <f t="shared" si="3"/>
        <v>0</v>
      </c>
      <c r="BJ616" s="1397"/>
      <c r="BK616" s="1414">
        <f t="shared" si="4"/>
        <v>0</v>
      </c>
      <c r="BL616" s="1415"/>
      <c r="BM616" s="3"/>
      <c r="BN616" s="1406">
        <f t="shared" si="5"/>
        <v>0</v>
      </c>
      <c r="BO616" s="1407"/>
      <c r="BP616" s="1407"/>
      <c r="BQ616" s="1407"/>
      <c r="BR616" s="1408"/>
      <c r="BS616" s="1409">
        <f t="shared" si="6"/>
        <v>0</v>
      </c>
      <c r="BT616" s="1409"/>
      <c r="BU616" s="1409"/>
      <c r="BV616" s="1409"/>
      <c r="BW616" s="1409"/>
      <c r="BX616" s="1409">
        <f t="shared" si="7"/>
        <v>0</v>
      </c>
      <c r="BY616" s="1409"/>
      <c r="BZ616" s="1409"/>
      <c r="CA616" s="1409"/>
      <c r="CB616" s="1409"/>
      <c r="CC616" s="1409">
        <f t="shared" si="8"/>
        <v>0</v>
      </c>
      <c r="CD616" s="1409"/>
      <c r="CE616" s="1409"/>
      <c r="CF616" s="1409"/>
      <c r="CG616" s="1409"/>
      <c r="CH616" s="1409">
        <f t="shared" si="9"/>
        <v>0</v>
      </c>
      <c r="CI616" s="1409"/>
      <c r="CJ616" s="1409"/>
      <c r="CK616" s="1409"/>
      <c r="CL616" s="1409"/>
      <c r="CM616" s="1409">
        <f t="shared" si="10"/>
        <v>0</v>
      </c>
      <c r="CN616" s="1409"/>
      <c r="CO616" s="1409"/>
      <c r="CP616" s="1409"/>
      <c r="CQ616" s="1409"/>
      <c r="CR616" s="6"/>
      <c r="CS616" s="1405">
        <f t="shared" si="11"/>
        <v>0</v>
      </c>
      <c r="CT616" s="1405"/>
      <c r="CU616" s="1405"/>
      <c r="CV616" s="1405"/>
      <c r="CW616" s="1405"/>
      <c r="CX616" s="1405">
        <f t="shared" si="12"/>
        <v>0</v>
      </c>
      <c r="CY616" s="1405"/>
      <c r="CZ616" s="1405"/>
      <c r="DA616" s="1405"/>
      <c r="DB616" s="1405"/>
      <c r="DC616" s="1405">
        <f t="shared" si="13"/>
        <v>0</v>
      </c>
      <c r="DD616" s="1405"/>
      <c r="DE616" s="1405"/>
      <c r="DF616" s="1405"/>
      <c r="DG616" s="1405"/>
      <c r="DH616" s="1405">
        <f t="shared" si="14"/>
        <v>0</v>
      </c>
      <c r="DI616" s="1405"/>
      <c r="DJ616" s="1405"/>
      <c r="DK616" s="1405"/>
      <c r="DL616" s="1405"/>
      <c r="DM616" s="1405">
        <f t="shared" si="15"/>
        <v>0</v>
      </c>
      <c r="DN616" s="1405"/>
      <c r="DO616" s="1405"/>
      <c r="DP616" s="1405"/>
      <c r="DQ616" s="1405"/>
      <c r="DR616" s="1405">
        <f t="shared" si="16"/>
        <v>0</v>
      </c>
      <c r="DS616" s="1405"/>
      <c r="DT616" s="1405"/>
      <c r="DU616" s="1405"/>
      <c r="DV616" s="1405"/>
      <c r="DX616" s="1395" t="str">
        <f t="shared" si="17"/>
        <v/>
      </c>
      <c r="DY616" s="1396"/>
      <c r="DZ616" s="1396"/>
      <c r="EA616" s="1396"/>
      <c r="EB616" s="1397"/>
      <c r="EC616" s="1395" t="str">
        <f t="shared" si="18"/>
        <v/>
      </c>
      <c r="ED616" s="1396"/>
      <c r="EE616" s="1396"/>
      <c r="EF616" s="1396"/>
      <c r="EG616" s="1397"/>
      <c r="EH616" s="1395" t="str">
        <f t="shared" si="19"/>
        <v/>
      </c>
      <c r="EI616" s="1396"/>
      <c r="EJ616" s="1396"/>
      <c r="EK616" s="1396"/>
      <c r="EL616" s="1397"/>
      <c r="EM616" s="1395" t="str">
        <f t="shared" si="20"/>
        <v/>
      </c>
      <c r="EN616" s="1396"/>
      <c r="EO616" s="1396"/>
      <c r="EP616" s="1396"/>
      <c r="EQ616" s="1397"/>
      <c r="ER616" s="1395" t="str">
        <f t="shared" si="21"/>
        <v/>
      </c>
      <c r="ES616" s="1396"/>
      <c r="ET616" s="1396"/>
      <c r="EU616" s="1396"/>
      <c r="EV616" s="1397"/>
      <c r="EW616" s="1395" t="str">
        <f t="shared" si="22"/>
        <v/>
      </c>
      <c r="EX616" s="1396"/>
      <c r="EY616" s="1396"/>
      <c r="EZ616" s="1396"/>
      <c r="FA616" s="1397"/>
    </row>
    <row r="617" spans="1:157" ht="12.95" customHeight="1">
      <c r="A617" s="1282" t="s">
        <v>553</v>
      </c>
      <c r="B617" s="1282"/>
      <c r="C617" s="1282"/>
      <c r="D617" s="1282"/>
      <c r="E617" s="1282"/>
      <c r="F617" s="1282"/>
      <c r="G617" s="1282"/>
      <c r="H617" s="1282"/>
      <c r="I617" s="1282"/>
      <c r="J617" s="1282"/>
      <c r="K617" s="1282"/>
      <c r="L617" s="1282"/>
      <c r="M617" s="1282"/>
      <c r="N617" s="1282"/>
      <c r="O617" s="1282"/>
      <c r="P617" s="1282"/>
      <c r="Q617" s="1282"/>
      <c r="R617" s="1282"/>
      <c r="S617" s="1282"/>
      <c r="T617" s="1282"/>
      <c r="U617" s="1282"/>
      <c r="V617" s="1282"/>
      <c r="W617" s="1282"/>
      <c r="X617" s="1282"/>
      <c r="Y617" s="1282"/>
      <c r="Z617" s="1282"/>
      <c r="AA617" s="1282"/>
      <c r="AB617" s="1282"/>
      <c r="AC617" s="1282"/>
      <c r="AD617" s="1282"/>
      <c r="AE617" s="1282"/>
      <c r="AF617" s="1282"/>
      <c r="AG617" s="1282"/>
      <c r="AH617" s="1282"/>
      <c r="AI617" s="1282"/>
      <c r="AJ617" s="1282"/>
      <c r="AK617" s="1282"/>
      <c r="AL617" s="1282"/>
      <c r="AM617" s="1282"/>
      <c r="AN617" s="1282"/>
      <c r="AO617" s="1282"/>
      <c r="AP617" s="1282"/>
      <c r="AQ617" s="1282"/>
      <c r="AR617" s="1282"/>
      <c r="AS617" s="1282"/>
      <c r="AT617" s="1282"/>
      <c r="AZ617" s="3"/>
      <c r="BA617" s="3"/>
      <c r="BB617" s="3"/>
      <c r="BC617" s="3"/>
      <c r="BD617" s="3"/>
      <c r="BE617" s="1395">
        <f t="shared" si="1"/>
        <v>0</v>
      </c>
      <c r="BF617" s="1397"/>
      <c r="BG617" s="1414">
        <f t="shared" si="2"/>
        <v>0</v>
      </c>
      <c r="BH617" s="1415"/>
      <c r="BI617" s="1395">
        <f t="shared" si="3"/>
        <v>0</v>
      </c>
      <c r="BJ617" s="1397"/>
      <c r="BK617" s="1414">
        <f t="shared" si="4"/>
        <v>0</v>
      </c>
      <c r="BL617" s="1415"/>
      <c r="BM617" s="3"/>
      <c r="BN617" s="1406">
        <f t="shared" si="5"/>
        <v>0</v>
      </c>
      <c r="BO617" s="1407"/>
      <c r="BP617" s="1407"/>
      <c r="BQ617" s="1407"/>
      <c r="BR617" s="1408"/>
      <c r="BS617" s="1409">
        <f t="shared" si="6"/>
        <v>0</v>
      </c>
      <c r="BT617" s="1409"/>
      <c r="BU617" s="1409"/>
      <c r="BV617" s="1409"/>
      <c r="BW617" s="1409"/>
      <c r="BX617" s="1409">
        <f t="shared" si="7"/>
        <v>0</v>
      </c>
      <c r="BY617" s="1409"/>
      <c r="BZ617" s="1409"/>
      <c r="CA617" s="1409"/>
      <c r="CB617" s="1409"/>
      <c r="CC617" s="1409">
        <f t="shared" si="8"/>
        <v>0</v>
      </c>
      <c r="CD617" s="1409"/>
      <c r="CE617" s="1409"/>
      <c r="CF617" s="1409"/>
      <c r="CG617" s="1409"/>
      <c r="CH617" s="1409">
        <f t="shared" si="9"/>
        <v>0</v>
      </c>
      <c r="CI617" s="1409"/>
      <c r="CJ617" s="1409"/>
      <c r="CK617" s="1409"/>
      <c r="CL617" s="1409"/>
      <c r="CM617" s="1409">
        <f t="shared" si="10"/>
        <v>0</v>
      </c>
      <c r="CN617" s="1409"/>
      <c r="CO617" s="1409"/>
      <c r="CP617" s="1409"/>
      <c r="CQ617" s="1409"/>
      <c r="CR617" s="6"/>
      <c r="CS617" s="1405">
        <f t="shared" si="11"/>
        <v>0</v>
      </c>
      <c r="CT617" s="1405"/>
      <c r="CU617" s="1405"/>
      <c r="CV617" s="1405"/>
      <c r="CW617" s="1405"/>
      <c r="CX617" s="1405">
        <f t="shared" si="12"/>
        <v>0</v>
      </c>
      <c r="CY617" s="1405"/>
      <c r="CZ617" s="1405"/>
      <c r="DA617" s="1405"/>
      <c r="DB617" s="1405"/>
      <c r="DC617" s="1405">
        <f t="shared" si="13"/>
        <v>0</v>
      </c>
      <c r="DD617" s="1405"/>
      <c r="DE617" s="1405"/>
      <c r="DF617" s="1405"/>
      <c r="DG617" s="1405"/>
      <c r="DH617" s="1405">
        <f t="shared" si="14"/>
        <v>0</v>
      </c>
      <c r="DI617" s="1405"/>
      <c r="DJ617" s="1405"/>
      <c r="DK617" s="1405"/>
      <c r="DL617" s="1405"/>
      <c r="DM617" s="1405">
        <f t="shared" si="15"/>
        <v>0</v>
      </c>
      <c r="DN617" s="1405"/>
      <c r="DO617" s="1405"/>
      <c r="DP617" s="1405"/>
      <c r="DQ617" s="1405"/>
      <c r="DR617" s="1405">
        <f t="shared" si="16"/>
        <v>0</v>
      </c>
      <c r="DS617" s="1405"/>
      <c r="DT617" s="1405"/>
      <c r="DU617" s="1405"/>
      <c r="DV617" s="1405"/>
      <c r="DX617" s="1395" t="str">
        <f t="shared" si="17"/>
        <v/>
      </c>
      <c r="DY617" s="1396"/>
      <c r="DZ617" s="1396"/>
      <c r="EA617" s="1396"/>
      <c r="EB617" s="1397"/>
      <c r="EC617" s="1395" t="str">
        <f t="shared" si="18"/>
        <v/>
      </c>
      <c r="ED617" s="1396"/>
      <c r="EE617" s="1396"/>
      <c r="EF617" s="1396"/>
      <c r="EG617" s="1397"/>
      <c r="EH617" s="1395" t="str">
        <f t="shared" si="19"/>
        <v/>
      </c>
      <c r="EI617" s="1396"/>
      <c r="EJ617" s="1396"/>
      <c r="EK617" s="1396"/>
      <c r="EL617" s="1397"/>
      <c r="EM617" s="1395" t="str">
        <f t="shared" si="20"/>
        <v/>
      </c>
      <c r="EN617" s="1396"/>
      <c r="EO617" s="1396"/>
      <c r="EP617" s="1396"/>
      <c r="EQ617" s="1397"/>
      <c r="ER617" s="1395" t="str">
        <f t="shared" si="21"/>
        <v/>
      </c>
      <c r="ES617" s="1396"/>
      <c r="ET617" s="1396"/>
      <c r="EU617" s="1396"/>
      <c r="EV617" s="1397"/>
      <c r="EW617" s="1395" t="str">
        <f t="shared" si="22"/>
        <v/>
      </c>
      <c r="EX617" s="1396"/>
      <c r="EY617" s="1396"/>
      <c r="EZ617" s="1396"/>
      <c r="FA617" s="1397"/>
    </row>
    <row r="618" spans="1:157" ht="12.95" customHeight="1">
      <c r="A618" s="1282"/>
      <c r="B618" s="1282"/>
      <c r="C618" s="1282"/>
      <c r="D618" s="1282"/>
      <c r="E618" s="1282"/>
      <c r="F618" s="1282"/>
      <c r="G618" s="1282"/>
      <c r="H618" s="1282"/>
      <c r="I618" s="1282"/>
      <c r="J618" s="1282"/>
      <c r="K618" s="1282"/>
      <c r="L618" s="1282"/>
      <c r="M618" s="1282"/>
      <c r="N618" s="1282"/>
      <c r="O618" s="1282"/>
      <c r="P618" s="1282"/>
      <c r="Q618" s="1282"/>
      <c r="R618" s="1282"/>
      <c r="S618" s="1282"/>
      <c r="T618" s="1282"/>
      <c r="U618" s="1282"/>
      <c r="V618" s="1282"/>
      <c r="W618" s="1282"/>
      <c r="X618" s="1282"/>
      <c r="Y618" s="1282"/>
      <c r="Z618" s="1282"/>
      <c r="AA618" s="1282"/>
      <c r="AB618" s="1282"/>
      <c r="AC618" s="1282"/>
      <c r="AD618" s="1282"/>
      <c r="AE618" s="1282"/>
      <c r="AF618" s="1282"/>
      <c r="AG618" s="1282"/>
      <c r="AH618" s="1282"/>
      <c r="AI618" s="1282"/>
      <c r="AJ618" s="1282"/>
      <c r="AK618" s="1282"/>
      <c r="AL618" s="1282"/>
      <c r="AM618" s="1282"/>
      <c r="AN618" s="1282"/>
      <c r="AO618" s="1282"/>
      <c r="AP618" s="1282"/>
      <c r="AQ618" s="1282"/>
      <c r="AR618" s="1282"/>
      <c r="AS618" s="1282"/>
      <c r="AT618" s="1282"/>
      <c r="AZ618" s="3"/>
      <c r="BA618" s="3"/>
      <c r="BB618" s="3"/>
      <c r="BC618" s="3"/>
      <c r="BD618" s="3"/>
      <c r="BE618" s="1395">
        <f t="shared" si="1"/>
        <v>0</v>
      </c>
      <c r="BF618" s="1397"/>
      <c r="BG618" s="1414">
        <f t="shared" si="2"/>
        <v>0</v>
      </c>
      <c r="BH618" s="1415"/>
      <c r="BI618" s="1395">
        <f t="shared" si="3"/>
        <v>0</v>
      </c>
      <c r="BJ618" s="1397"/>
      <c r="BK618" s="1414">
        <f t="shared" si="4"/>
        <v>0</v>
      </c>
      <c r="BL618" s="1415"/>
      <c r="BM618" s="3"/>
      <c r="BN618" s="1406">
        <f t="shared" si="5"/>
        <v>0</v>
      </c>
      <c r="BO618" s="1407"/>
      <c r="BP618" s="1407"/>
      <c r="BQ618" s="1407"/>
      <c r="BR618" s="1408"/>
      <c r="BS618" s="1409">
        <f t="shared" si="6"/>
        <v>0</v>
      </c>
      <c r="BT618" s="1409"/>
      <c r="BU618" s="1409"/>
      <c r="BV618" s="1409"/>
      <c r="BW618" s="1409"/>
      <c r="BX618" s="1409">
        <f t="shared" si="7"/>
        <v>0</v>
      </c>
      <c r="BY618" s="1409"/>
      <c r="BZ618" s="1409"/>
      <c r="CA618" s="1409"/>
      <c r="CB618" s="1409"/>
      <c r="CC618" s="1409">
        <f t="shared" si="8"/>
        <v>0</v>
      </c>
      <c r="CD618" s="1409"/>
      <c r="CE618" s="1409"/>
      <c r="CF618" s="1409"/>
      <c r="CG618" s="1409"/>
      <c r="CH618" s="1409">
        <f t="shared" si="9"/>
        <v>0</v>
      </c>
      <c r="CI618" s="1409"/>
      <c r="CJ618" s="1409"/>
      <c r="CK618" s="1409"/>
      <c r="CL618" s="1409"/>
      <c r="CM618" s="1409">
        <f t="shared" si="10"/>
        <v>0</v>
      </c>
      <c r="CN618" s="1409"/>
      <c r="CO618" s="1409"/>
      <c r="CP618" s="1409"/>
      <c r="CQ618" s="1409"/>
      <c r="CR618" s="6"/>
      <c r="CS618" s="1405">
        <f t="shared" si="11"/>
        <v>0</v>
      </c>
      <c r="CT618" s="1405"/>
      <c r="CU618" s="1405"/>
      <c r="CV618" s="1405"/>
      <c r="CW618" s="1405"/>
      <c r="CX618" s="1405">
        <f t="shared" si="12"/>
        <v>0</v>
      </c>
      <c r="CY618" s="1405"/>
      <c r="CZ618" s="1405"/>
      <c r="DA618" s="1405"/>
      <c r="DB618" s="1405"/>
      <c r="DC618" s="1405">
        <f t="shared" si="13"/>
        <v>0</v>
      </c>
      <c r="DD618" s="1405"/>
      <c r="DE618" s="1405"/>
      <c r="DF618" s="1405"/>
      <c r="DG618" s="1405"/>
      <c r="DH618" s="1405">
        <f t="shared" si="14"/>
        <v>0</v>
      </c>
      <c r="DI618" s="1405"/>
      <c r="DJ618" s="1405"/>
      <c r="DK618" s="1405"/>
      <c r="DL618" s="1405"/>
      <c r="DM618" s="1405">
        <f t="shared" si="15"/>
        <v>0</v>
      </c>
      <c r="DN618" s="1405"/>
      <c r="DO618" s="1405"/>
      <c r="DP618" s="1405"/>
      <c r="DQ618" s="1405"/>
      <c r="DR618" s="1405">
        <f t="shared" si="16"/>
        <v>0</v>
      </c>
      <c r="DS618" s="1405"/>
      <c r="DT618" s="1405"/>
      <c r="DU618" s="1405"/>
      <c r="DV618" s="1405"/>
      <c r="DX618" s="1395" t="str">
        <f t="shared" si="17"/>
        <v/>
      </c>
      <c r="DY618" s="1396"/>
      <c r="DZ618" s="1396"/>
      <c r="EA618" s="1396"/>
      <c r="EB618" s="1397"/>
      <c r="EC618" s="1395" t="str">
        <f t="shared" si="18"/>
        <v/>
      </c>
      <c r="ED618" s="1396"/>
      <c r="EE618" s="1396"/>
      <c r="EF618" s="1396"/>
      <c r="EG618" s="1397"/>
      <c r="EH618" s="1395" t="str">
        <f t="shared" si="19"/>
        <v/>
      </c>
      <c r="EI618" s="1396"/>
      <c r="EJ618" s="1396"/>
      <c r="EK618" s="1396"/>
      <c r="EL618" s="1397"/>
      <c r="EM618" s="1395" t="str">
        <f t="shared" si="20"/>
        <v/>
      </c>
      <c r="EN618" s="1396"/>
      <c r="EO618" s="1396"/>
      <c r="EP618" s="1396"/>
      <c r="EQ618" s="1397"/>
      <c r="ER618" s="1395" t="str">
        <f t="shared" si="21"/>
        <v/>
      </c>
      <c r="ES618" s="1396"/>
      <c r="ET618" s="1396"/>
      <c r="EU618" s="1396"/>
      <c r="EV618" s="1397"/>
      <c r="EW618" s="1395" t="str">
        <f t="shared" si="22"/>
        <v/>
      </c>
      <c r="EX618" s="1396"/>
      <c r="EY618" s="1396"/>
      <c r="EZ618" s="1396"/>
      <c r="FA618" s="1397"/>
    </row>
    <row r="619" spans="1:157" ht="12.95" customHeight="1">
      <c r="AZ619" s="3"/>
      <c r="BA619" s="3"/>
      <c r="BB619" s="3"/>
      <c r="BC619" s="3"/>
      <c r="BD619" s="3"/>
      <c r="BE619" s="1395">
        <f t="shared" si="1"/>
        <v>0</v>
      </c>
      <c r="BF619" s="1397"/>
      <c r="BG619" s="1414">
        <f t="shared" si="2"/>
        <v>0</v>
      </c>
      <c r="BH619" s="1415"/>
      <c r="BI619" s="1395">
        <f t="shared" si="3"/>
        <v>0</v>
      </c>
      <c r="BJ619" s="1397"/>
      <c r="BK619" s="1414">
        <f t="shared" si="4"/>
        <v>0</v>
      </c>
      <c r="BL619" s="1415"/>
      <c r="BM619" s="3"/>
      <c r="BN619" s="1406">
        <f t="shared" si="5"/>
        <v>0</v>
      </c>
      <c r="BO619" s="1407"/>
      <c r="BP619" s="1407"/>
      <c r="BQ619" s="1407"/>
      <c r="BR619" s="1408"/>
      <c r="BS619" s="1409">
        <f t="shared" si="6"/>
        <v>0</v>
      </c>
      <c r="BT619" s="1409"/>
      <c r="BU619" s="1409"/>
      <c r="BV619" s="1409"/>
      <c r="BW619" s="1409"/>
      <c r="BX619" s="1409">
        <f t="shared" si="7"/>
        <v>0</v>
      </c>
      <c r="BY619" s="1409"/>
      <c r="BZ619" s="1409"/>
      <c r="CA619" s="1409"/>
      <c r="CB619" s="1409"/>
      <c r="CC619" s="1409">
        <f t="shared" si="8"/>
        <v>0</v>
      </c>
      <c r="CD619" s="1409"/>
      <c r="CE619" s="1409"/>
      <c r="CF619" s="1409"/>
      <c r="CG619" s="1409"/>
      <c r="CH619" s="1409">
        <f t="shared" si="9"/>
        <v>0</v>
      </c>
      <c r="CI619" s="1409"/>
      <c r="CJ619" s="1409"/>
      <c r="CK619" s="1409"/>
      <c r="CL619" s="1409"/>
      <c r="CM619" s="1409">
        <f t="shared" si="10"/>
        <v>0</v>
      </c>
      <c r="CN619" s="1409"/>
      <c r="CO619" s="1409"/>
      <c r="CP619" s="1409"/>
      <c r="CQ619" s="1409"/>
      <c r="CR619" s="6"/>
      <c r="CS619" s="1405">
        <f t="shared" si="11"/>
        <v>0</v>
      </c>
      <c r="CT619" s="1405"/>
      <c r="CU619" s="1405"/>
      <c r="CV619" s="1405"/>
      <c r="CW619" s="1405"/>
      <c r="CX619" s="1405">
        <f t="shared" si="12"/>
        <v>0</v>
      </c>
      <c r="CY619" s="1405"/>
      <c r="CZ619" s="1405"/>
      <c r="DA619" s="1405"/>
      <c r="DB619" s="1405"/>
      <c r="DC619" s="1405">
        <f t="shared" si="13"/>
        <v>0</v>
      </c>
      <c r="DD619" s="1405"/>
      <c r="DE619" s="1405"/>
      <c r="DF619" s="1405"/>
      <c r="DG619" s="1405"/>
      <c r="DH619" s="1405">
        <f t="shared" si="14"/>
        <v>0</v>
      </c>
      <c r="DI619" s="1405"/>
      <c r="DJ619" s="1405"/>
      <c r="DK619" s="1405"/>
      <c r="DL619" s="1405"/>
      <c r="DM619" s="1405">
        <f t="shared" si="15"/>
        <v>0</v>
      </c>
      <c r="DN619" s="1405"/>
      <c r="DO619" s="1405"/>
      <c r="DP619" s="1405"/>
      <c r="DQ619" s="1405"/>
      <c r="DR619" s="1405">
        <f t="shared" si="16"/>
        <v>0</v>
      </c>
      <c r="DS619" s="1405"/>
      <c r="DT619" s="1405"/>
      <c r="DU619" s="1405"/>
      <c r="DV619" s="1405"/>
      <c r="DX619" s="1395" t="str">
        <f t="shared" si="17"/>
        <v/>
      </c>
      <c r="DY619" s="1396"/>
      <c r="DZ619" s="1396"/>
      <c r="EA619" s="1396"/>
      <c r="EB619" s="1397"/>
      <c r="EC619" s="1395" t="str">
        <f t="shared" si="18"/>
        <v/>
      </c>
      <c r="ED619" s="1396"/>
      <c r="EE619" s="1396"/>
      <c r="EF619" s="1396"/>
      <c r="EG619" s="1397"/>
      <c r="EH619" s="1395" t="str">
        <f t="shared" si="19"/>
        <v/>
      </c>
      <c r="EI619" s="1396"/>
      <c r="EJ619" s="1396"/>
      <c r="EK619" s="1396"/>
      <c r="EL619" s="1397"/>
      <c r="EM619" s="1395" t="str">
        <f t="shared" si="20"/>
        <v/>
      </c>
      <c r="EN619" s="1396"/>
      <c r="EO619" s="1396"/>
      <c r="EP619" s="1396"/>
      <c r="EQ619" s="1397"/>
      <c r="ER619" s="1395" t="str">
        <f t="shared" si="21"/>
        <v/>
      </c>
      <c r="ES619" s="1396"/>
      <c r="ET619" s="1396"/>
      <c r="EU619" s="1396"/>
      <c r="EV619" s="1397"/>
      <c r="EW619" s="1395" t="str">
        <f t="shared" si="22"/>
        <v/>
      </c>
      <c r="EX619" s="1396"/>
      <c r="EY619" s="1396"/>
      <c r="EZ619" s="1396"/>
      <c r="FA619" s="1397"/>
    </row>
    <row r="620" spans="1:157" ht="12.95" customHeight="1">
      <c r="A620" s="2" t="s">
        <v>320</v>
      </c>
      <c r="B620" s="2"/>
      <c r="C620" s="2" t="s">
        <v>21</v>
      </c>
      <c r="AZ620" s="3"/>
      <c r="BA620" s="3"/>
      <c r="BB620" s="3"/>
      <c r="BC620" s="3"/>
      <c r="BD620" s="3"/>
      <c r="BE620" s="1395">
        <f t="shared" si="1"/>
        <v>0</v>
      </c>
      <c r="BF620" s="1397"/>
      <c r="BG620" s="1414">
        <f t="shared" si="2"/>
        <v>0</v>
      </c>
      <c r="BH620" s="1415"/>
      <c r="BI620" s="1395">
        <f t="shared" si="3"/>
        <v>0</v>
      </c>
      <c r="BJ620" s="1397"/>
      <c r="BK620" s="1414">
        <f t="shared" si="4"/>
        <v>0</v>
      </c>
      <c r="BL620" s="1415"/>
      <c r="BM620" s="3"/>
      <c r="BN620" s="1406">
        <f t="shared" si="5"/>
        <v>0</v>
      </c>
      <c r="BO620" s="1407"/>
      <c r="BP620" s="1407"/>
      <c r="BQ620" s="1407"/>
      <c r="BR620" s="1408"/>
      <c r="BS620" s="1409">
        <f t="shared" si="6"/>
        <v>0</v>
      </c>
      <c r="BT620" s="1409"/>
      <c r="BU620" s="1409"/>
      <c r="BV620" s="1409"/>
      <c r="BW620" s="1409"/>
      <c r="BX620" s="1409">
        <f t="shared" si="7"/>
        <v>0</v>
      </c>
      <c r="BY620" s="1409"/>
      <c r="BZ620" s="1409"/>
      <c r="CA620" s="1409"/>
      <c r="CB620" s="1409"/>
      <c r="CC620" s="1409">
        <f t="shared" si="8"/>
        <v>0</v>
      </c>
      <c r="CD620" s="1409"/>
      <c r="CE620" s="1409"/>
      <c r="CF620" s="1409"/>
      <c r="CG620" s="1409"/>
      <c r="CH620" s="1409">
        <f t="shared" si="9"/>
        <v>0</v>
      </c>
      <c r="CI620" s="1409"/>
      <c r="CJ620" s="1409"/>
      <c r="CK620" s="1409"/>
      <c r="CL620" s="1409"/>
      <c r="CM620" s="1409">
        <f t="shared" si="10"/>
        <v>0</v>
      </c>
      <c r="CN620" s="1409"/>
      <c r="CO620" s="1409"/>
      <c r="CP620" s="1409"/>
      <c r="CQ620" s="1409"/>
      <c r="CR620" s="6"/>
      <c r="CS620" s="1405">
        <f t="shared" si="11"/>
        <v>0</v>
      </c>
      <c r="CT620" s="1405"/>
      <c r="CU620" s="1405"/>
      <c r="CV620" s="1405"/>
      <c r="CW620" s="1405"/>
      <c r="CX620" s="1405">
        <f t="shared" si="12"/>
        <v>0</v>
      </c>
      <c r="CY620" s="1405"/>
      <c r="CZ620" s="1405"/>
      <c r="DA620" s="1405"/>
      <c r="DB620" s="1405"/>
      <c r="DC620" s="1405">
        <f t="shared" si="13"/>
        <v>0</v>
      </c>
      <c r="DD620" s="1405"/>
      <c r="DE620" s="1405"/>
      <c r="DF620" s="1405"/>
      <c r="DG620" s="1405"/>
      <c r="DH620" s="1405">
        <f t="shared" si="14"/>
        <v>0</v>
      </c>
      <c r="DI620" s="1405"/>
      <c r="DJ620" s="1405"/>
      <c r="DK620" s="1405"/>
      <c r="DL620" s="1405"/>
      <c r="DM620" s="1405">
        <f t="shared" si="15"/>
        <v>0</v>
      </c>
      <c r="DN620" s="1405"/>
      <c r="DO620" s="1405"/>
      <c r="DP620" s="1405"/>
      <c r="DQ620" s="1405"/>
      <c r="DR620" s="1405">
        <f t="shared" si="16"/>
        <v>0</v>
      </c>
      <c r="DS620" s="1405"/>
      <c r="DT620" s="1405"/>
      <c r="DU620" s="1405"/>
      <c r="DV620" s="1405"/>
      <c r="DX620" s="1395" t="str">
        <f t="shared" si="17"/>
        <v/>
      </c>
      <c r="DY620" s="1396"/>
      <c r="DZ620" s="1396"/>
      <c r="EA620" s="1396"/>
      <c r="EB620" s="1397"/>
      <c r="EC620" s="1395" t="str">
        <f t="shared" si="18"/>
        <v/>
      </c>
      <c r="ED620" s="1396"/>
      <c r="EE620" s="1396"/>
      <c r="EF620" s="1396"/>
      <c r="EG620" s="1397"/>
      <c r="EH620" s="1395" t="str">
        <f t="shared" si="19"/>
        <v/>
      </c>
      <c r="EI620" s="1396"/>
      <c r="EJ620" s="1396"/>
      <c r="EK620" s="1396"/>
      <c r="EL620" s="1397"/>
      <c r="EM620" s="1395" t="str">
        <f t="shared" si="20"/>
        <v/>
      </c>
      <c r="EN620" s="1396"/>
      <c r="EO620" s="1396"/>
      <c r="EP620" s="1396"/>
      <c r="EQ620" s="1397"/>
      <c r="ER620" s="1395" t="str">
        <f t="shared" si="21"/>
        <v/>
      </c>
      <c r="ES620" s="1396"/>
      <c r="ET620" s="1396"/>
      <c r="EU620" s="1396"/>
      <c r="EV620" s="1397"/>
      <c r="EW620" s="1395" t="str">
        <f t="shared" si="22"/>
        <v/>
      </c>
      <c r="EX620" s="1396"/>
      <c r="EY620" s="1396"/>
      <c r="EZ620" s="1396"/>
      <c r="FA620" s="1397"/>
    </row>
    <row r="621" spans="1:157" ht="12.95" customHeight="1">
      <c r="A621" s="2"/>
      <c r="B621" s="2"/>
      <c r="C621" s="2"/>
      <c r="AZ621" s="3"/>
      <c r="BA621" s="3"/>
      <c r="BB621" s="3"/>
      <c r="BC621" s="3"/>
      <c r="BD621" s="3"/>
      <c r="BE621" s="1395">
        <f t="shared" si="1"/>
        <v>0</v>
      </c>
      <c r="BF621" s="1397"/>
      <c r="BG621" s="1414">
        <f t="shared" si="2"/>
        <v>0</v>
      </c>
      <c r="BH621" s="1415"/>
      <c r="BI621" s="1395">
        <f t="shared" si="3"/>
        <v>0</v>
      </c>
      <c r="BJ621" s="1397"/>
      <c r="BK621" s="1414">
        <f t="shared" si="4"/>
        <v>0</v>
      </c>
      <c r="BL621" s="1415"/>
      <c r="BM621" s="3"/>
      <c r="BN621" s="1406">
        <f t="shared" si="5"/>
        <v>0</v>
      </c>
      <c r="BO621" s="1407"/>
      <c r="BP621" s="1407"/>
      <c r="BQ621" s="1407"/>
      <c r="BR621" s="1408"/>
      <c r="BS621" s="1409">
        <f t="shared" si="6"/>
        <v>0</v>
      </c>
      <c r="BT621" s="1409"/>
      <c r="BU621" s="1409"/>
      <c r="BV621" s="1409"/>
      <c r="BW621" s="1409"/>
      <c r="BX621" s="1409">
        <f t="shared" si="7"/>
        <v>0</v>
      </c>
      <c r="BY621" s="1409"/>
      <c r="BZ621" s="1409"/>
      <c r="CA621" s="1409"/>
      <c r="CB621" s="1409"/>
      <c r="CC621" s="1409">
        <f t="shared" si="8"/>
        <v>0</v>
      </c>
      <c r="CD621" s="1409"/>
      <c r="CE621" s="1409"/>
      <c r="CF621" s="1409"/>
      <c r="CG621" s="1409"/>
      <c r="CH621" s="1409">
        <f t="shared" si="9"/>
        <v>0</v>
      </c>
      <c r="CI621" s="1409"/>
      <c r="CJ621" s="1409"/>
      <c r="CK621" s="1409"/>
      <c r="CL621" s="1409"/>
      <c r="CM621" s="1409">
        <f t="shared" si="10"/>
        <v>0</v>
      </c>
      <c r="CN621" s="1409"/>
      <c r="CO621" s="1409"/>
      <c r="CP621" s="1409"/>
      <c r="CQ621" s="1409"/>
      <c r="CR621" s="6"/>
      <c r="CS621" s="1405">
        <f t="shared" si="11"/>
        <v>0</v>
      </c>
      <c r="CT621" s="1405"/>
      <c r="CU621" s="1405"/>
      <c r="CV621" s="1405"/>
      <c r="CW621" s="1405"/>
      <c r="CX621" s="1405">
        <f t="shared" si="12"/>
        <v>0</v>
      </c>
      <c r="CY621" s="1405"/>
      <c r="CZ621" s="1405"/>
      <c r="DA621" s="1405"/>
      <c r="DB621" s="1405"/>
      <c r="DC621" s="1405">
        <f t="shared" si="13"/>
        <v>0</v>
      </c>
      <c r="DD621" s="1405"/>
      <c r="DE621" s="1405"/>
      <c r="DF621" s="1405"/>
      <c r="DG621" s="1405"/>
      <c r="DH621" s="1405">
        <f t="shared" si="14"/>
        <v>0</v>
      </c>
      <c r="DI621" s="1405"/>
      <c r="DJ621" s="1405"/>
      <c r="DK621" s="1405"/>
      <c r="DL621" s="1405"/>
      <c r="DM621" s="1405">
        <f t="shared" si="15"/>
        <v>0</v>
      </c>
      <c r="DN621" s="1405"/>
      <c r="DO621" s="1405"/>
      <c r="DP621" s="1405"/>
      <c r="DQ621" s="1405"/>
      <c r="DR621" s="1405">
        <f t="shared" si="16"/>
        <v>0</v>
      </c>
      <c r="DS621" s="1405"/>
      <c r="DT621" s="1405"/>
      <c r="DU621" s="1405"/>
      <c r="DV621" s="1405"/>
      <c r="DX621" s="1395" t="str">
        <f t="shared" si="17"/>
        <v/>
      </c>
      <c r="DY621" s="1396"/>
      <c r="DZ621" s="1396"/>
      <c r="EA621" s="1396"/>
      <c r="EB621" s="1397"/>
      <c r="EC621" s="1395" t="str">
        <f t="shared" si="18"/>
        <v/>
      </c>
      <c r="ED621" s="1396"/>
      <c r="EE621" s="1396"/>
      <c r="EF621" s="1396"/>
      <c r="EG621" s="1397"/>
      <c r="EH621" s="1395" t="str">
        <f t="shared" si="19"/>
        <v/>
      </c>
      <c r="EI621" s="1396"/>
      <c r="EJ621" s="1396"/>
      <c r="EK621" s="1396"/>
      <c r="EL621" s="1397"/>
      <c r="EM621" s="1395" t="str">
        <f t="shared" si="20"/>
        <v/>
      </c>
      <c r="EN621" s="1396"/>
      <c r="EO621" s="1396"/>
      <c r="EP621" s="1396"/>
      <c r="EQ621" s="1397"/>
      <c r="ER621" s="1395" t="str">
        <f t="shared" si="21"/>
        <v/>
      </c>
      <c r="ES621" s="1396"/>
      <c r="ET621" s="1396"/>
      <c r="EU621" s="1396"/>
      <c r="EV621" s="1397"/>
      <c r="EW621" s="1395" t="str">
        <f t="shared" si="22"/>
        <v/>
      </c>
      <c r="EX621" s="1396"/>
      <c r="EY621" s="1396"/>
      <c r="EZ621" s="1396"/>
      <c r="FA621" s="1397"/>
    </row>
    <row r="622" spans="1:157" ht="12.95" customHeight="1">
      <c r="C622" s="2" t="s">
        <v>2420</v>
      </c>
      <c r="AZ622" s="3"/>
      <c r="BA622" s="3"/>
      <c r="BB622" s="3"/>
      <c r="BC622" s="3"/>
      <c r="BD622" s="3"/>
      <c r="BE622" s="1395">
        <f t="shared" si="1"/>
        <v>0</v>
      </c>
      <c r="BF622" s="1397"/>
      <c r="BG622" s="1414">
        <f t="shared" si="2"/>
        <v>0</v>
      </c>
      <c r="BH622" s="1415"/>
      <c r="BI622" s="1395">
        <f t="shared" si="3"/>
        <v>0</v>
      </c>
      <c r="BJ622" s="1397"/>
      <c r="BK622" s="1414">
        <f t="shared" si="4"/>
        <v>0</v>
      </c>
      <c r="BL622" s="1415"/>
      <c r="BM622" s="3"/>
      <c r="BN622" s="1406">
        <f t="shared" si="5"/>
        <v>0</v>
      </c>
      <c r="BO622" s="1407"/>
      <c r="BP622" s="1407"/>
      <c r="BQ622" s="1407"/>
      <c r="BR622" s="1408"/>
      <c r="BS622" s="1409">
        <f t="shared" si="6"/>
        <v>0</v>
      </c>
      <c r="BT622" s="1409"/>
      <c r="BU622" s="1409"/>
      <c r="BV622" s="1409"/>
      <c r="BW622" s="1409"/>
      <c r="BX622" s="1409">
        <f t="shared" si="7"/>
        <v>0</v>
      </c>
      <c r="BY622" s="1409"/>
      <c r="BZ622" s="1409"/>
      <c r="CA622" s="1409"/>
      <c r="CB622" s="1409"/>
      <c r="CC622" s="1409">
        <f t="shared" si="8"/>
        <v>0</v>
      </c>
      <c r="CD622" s="1409"/>
      <c r="CE622" s="1409"/>
      <c r="CF622" s="1409"/>
      <c r="CG622" s="1409"/>
      <c r="CH622" s="1409">
        <f t="shared" si="9"/>
        <v>0</v>
      </c>
      <c r="CI622" s="1409"/>
      <c r="CJ622" s="1409"/>
      <c r="CK622" s="1409"/>
      <c r="CL622" s="1409"/>
      <c r="CM622" s="1409">
        <f t="shared" si="10"/>
        <v>0</v>
      </c>
      <c r="CN622" s="1409"/>
      <c r="CO622" s="1409"/>
      <c r="CP622" s="1409"/>
      <c r="CQ622" s="1409"/>
      <c r="CR622" s="6"/>
      <c r="CS622" s="1405">
        <f t="shared" si="11"/>
        <v>0</v>
      </c>
      <c r="CT622" s="1405"/>
      <c r="CU622" s="1405"/>
      <c r="CV622" s="1405"/>
      <c r="CW622" s="1405"/>
      <c r="CX622" s="1405">
        <f t="shared" si="12"/>
        <v>0</v>
      </c>
      <c r="CY622" s="1405"/>
      <c r="CZ622" s="1405"/>
      <c r="DA622" s="1405"/>
      <c r="DB622" s="1405"/>
      <c r="DC622" s="1405">
        <f t="shared" si="13"/>
        <v>0</v>
      </c>
      <c r="DD622" s="1405"/>
      <c r="DE622" s="1405"/>
      <c r="DF622" s="1405"/>
      <c r="DG622" s="1405"/>
      <c r="DH622" s="1405">
        <f t="shared" si="14"/>
        <v>0</v>
      </c>
      <c r="DI622" s="1405"/>
      <c r="DJ622" s="1405"/>
      <c r="DK622" s="1405"/>
      <c r="DL622" s="1405"/>
      <c r="DM622" s="1405">
        <f t="shared" si="15"/>
        <v>0</v>
      </c>
      <c r="DN622" s="1405"/>
      <c r="DO622" s="1405"/>
      <c r="DP622" s="1405"/>
      <c r="DQ622" s="1405"/>
      <c r="DR622" s="1405">
        <f t="shared" si="16"/>
        <v>0</v>
      </c>
      <c r="DS622" s="1405"/>
      <c r="DT622" s="1405"/>
      <c r="DU622" s="1405"/>
      <c r="DV622" s="1405"/>
      <c r="DX622" s="1395" t="str">
        <f t="shared" si="17"/>
        <v/>
      </c>
      <c r="DY622" s="1396"/>
      <c r="DZ622" s="1396"/>
      <c r="EA622" s="1396"/>
      <c r="EB622" s="1397"/>
      <c r="EC622" s="1395" t="str">
        <f t="shared" si="18"/>
        <v/>
      </c>
      <c r="ED622" s="1396"/>
      <c r="EE622" s="1396"/>
      <c r="EF622" s="1396"/>
      <c r="EG622" s="1397"/>
      <c r="EH622" s="1395" t="str">
        <f t="shared" si="19"/>
        <v/>
      </c>
      <c r="EI622" s="1396"/>
      <c r="EJ622" s="1396"/>
      <c r="EK622" s="1396"/>
      <c r="EL622" s="1397"/>
      <c r="EM622" s="1395" t="str">
        <f t="shared" si="20"/>
        <v/>
      </c>
      <c r="EN622" s="1396"/>
      <c r="EO622" s="1396"/>
      <c r="EP622" s="1396"/>
      <c r="EQ622" s="1397"/>
      <c r="ER622" s="1395" t="str">
        <f t="shared" si="21"/>
        <v/>
      </c>
      <c r="ES622" s="1396"/>
      <c r="ET622" s="1396"/>
      <c r="EU622" s="1396"/>
      <c r="EV622" s="1397"/>
      <c r="EW622" s="1395" t="str">
        <f t="shared" si="22"/>
        <v/>
      </c>
      <c r="EX622" s="1396"/>
      <c r="EY622" s="1396"/>
      <c r="EZ622" s="1396"/>
      <c r="FA622" s="1397"/>
    </row>
    <row r="623" spans="1:157" ht="12.95" customHeight="1">
      <c r="B623" s="546"/>
      <c r="C623" s="2"/>
      <c r="AU623" s="3"/>
      <c r="AZ623" s="3"/>
      <c r="BA623" s="3"/>
      <c r="BB623" s="3"/>
      <c r="BC623" s="3"/>
      <c r="BD623" s="3"/>
      <c r="BE623" s="1395">
        <f t="shared" si="1"/>
        <v>0</v>
      </c>
      <c r="BF623" s="1397"/>
      <c r="BG623" s="1414">
        <f t="shared" si="2"/>
        <v>0</v>
      </c>
      <c r="BH623" s="1415"/>
      <c r="BI623" s="1395">
        <f t="shared" si="3"/>
        <v>0</v>
      </c>
      <c r="BJ623" s="1397"/>
      <c r="BK623" s="1414">
        <f t="shared" si="4"/>
        <v>0</v>
      </c>
      <c r="BL623" s="1415"/>
      <c r="BM623" s="3"/>
      <c r="BN623" s="1406">
        <f t="shared" si="5"/>
        <v>0</v>
      </c>
      <c r="BO623" s="1407"/>
      <c r="BP623" s="1407"/>
      <c r="BQ623" s="1407"/>
      <c r="BR623" s="1408"/>
      <c r="BS623" s="1409">
        <f t="shared" si="6"/>
        <v>0</v>
      </c>
      <c r="BT623" s="1409"/>
      <c r="BU623" s="1409"/>
      <c r="BV623" s="1409"/>
      <c r="BW623" s="1409"/>
      <c r="BX623" s="1409">
        <f t="shared" si="7"/>
        <v>0</v>
      </c>
      <c r="BY623" s="1409"/>
      <c r="BZ623" s="1409"/>
      <c r="CA623" s="1409"/>
      <c r="CB623" s="1409"/>
      <c r="CC623" s="1409">
        <f t="shared" si="8"/>
        <v>0</v>
      </c>
      <c r="CD623" s="1409"/>
      <c r="CE623" s="1409"/>
      <c r="CF623" s="1409"/>
      <c r="CG623" s="1409"/>
      <c r="CH623" s="1409">
        <f t="shared" si="9"/>
        <v>0</v>
      </c>
      <c r="CI623" s="1409"/>
      <c r="CJ623" s="1409"/>
      <c r="CK623" s="1409"/>
      <c r="CL623" s="1409"/>
      <c r="CM623" s="1409">
        <f t="shared" si="10"/>
        <v>0</v>
      </c>
      <c r="CN623" s="1409"/>
      <c r="CO623" s="1409"/>
      <c r="CP623" s="1409"/>
      <c r="CQ623" s="1409"/>
      <c r="CR623" s="6"/>
      <c r="CS623" s="1405">
        <f t="shared" si="11"/>
        <v>0</v>
      </c>
      <c r="CT623" s="1405"/>
      <c r="CU623" s="1405"/>
      <c r="CV623" s="1405"/>
      <c r="CW623" s="1405"/>
      <c r="CX623" s="1405">
        <f t="shared" si="12"/>
        <v>0</v>
      </c>
      <c r="CY623" s="1405"/>
      <c r="CZ623" s="1405"/>
      <c r="DA623" s="1405"/>
      <c r="DB623" s="1405"/>
      <c r="DC623" s="1405">
        <f t="shared" si="13"/>
        <v>0</v>
      </c>
      <c r="DD623" s="1405"/>
      <c r="DE623" s="1405"/>
      <c r="DF623" s="1405"/>
      <c r="DG623" s="1405"/>
      <c r="DH623" s="1405">
        <f t="shared" si="14"/>
        <v>0</v>
      </c>
      <c r="DI623" s="1405"/>
      <c r="DJ623" s="1405"/>
      <c r="DK623" s="1405"/>
      <c r="DL623" s="1405"/>
      <c r="DM623" s="1405">
        <f t="shared" si="15"/>
        <v>0</v>
      </c>
      <c r="DN623" s="1405"/>
      <c r="DO623" s="1405"/>
      <c r="DP623" s="1405"/>
      <c r="DQ623" s="1405"/>
      <c r="DR623" s="1405">
        <f t="shared" si="16"/>
        <v>0</v>
      </c>
      <c r="DS623" s="1405"/>
      <c r="DT623" s="1405"/>
      <c r="DU623" s="1405"/>
      <c r="DV623" s="1405"/>
      <c r="DX623" s="1395" t="str">
        <f t="shared" si="17"/>
        <v/>
      </c>
      <c r="DY623" s="1396"/>
      <c r="DZ623" s="1396"/>
      <c r="EA623" s="1396"/>
      <c r="EB623" s="1397"/>
      <c r="EC623" s="1395" t="str">
        <f t="shared" si="18"/>
        <v/>
      </c>
      <c r="ED623" s="1396"/>
      <c r="EE623" s="1396"/>
      <c r="EF623" s="1396"/>
      <c r="EG623" s="1397"/>
      <c r="EH623" s="1395" t="str">
        <f t="shared" si="19"/>
        <v/>
      </c>
      <c r="EI623" s="1396"/>
      <c r="EJ623" s="1396"/>
      <c r="EK623" s="1396"/>
      <c r="EL623" s="1397"/>
      <c r="EM623" s="1395" t="str">
        <f t="shared" si="20"/>
        <v/>
      </c>
      <c r="EN623" s="1396"/>
      <c r="EO623" s="1396"/>
      <c r="EP623" s="1396"/>
      <c r="EQ623" s="1397"/>
      <c r="ER623" s="1395" t="str">
        <f t="shared" si="21"/>
        <v/>
      </c>
      <c r="ES623" s="1396"/>
      <c r="ET623" s="1396"/>
      <c r="EU623" s="1396"/>
      <c r="EV623" s="1397"/>
      <c r="EW623" s="1395" t="str">
        <f t="shared" si="22"/>
        <v/>
      </c>
      <c r="EX623" s="1396"/>
      <c r="EY623" s="1396"/>
      <c r="EZ623" s="1396"/>
      <c r="FA623" s="1397"/>
    </row>
    <row r="624" spans="1:157" ht="12.95" customHeight="1">
      <c r="B624" s="1700" t="s">
        <v>2422</v>
      </c>
      <c r="C624" s="1700"/>
      <c r="D624" s="1700"/>
      <c r="E624" s="1700"/>
      <c r="F624" s="1700"/>
      <c r="G624" s="1700"/>
      <c r="H624" s="1700"/>
      <c r="I624" s="1700"/>
      <c r="J624" s="1700"/>
      <c r="K624" s="1700"/>
      <c r="L624" s="1700"/>
      <c r="M624" s="1696" t="s">
        <v>2423</v>
      </c>
      <c r="N624" s="1696"/>
      <c r="O624" s="1696"/>
      <c r="P624" s="1696"/>
      <c r="Q624" s="1696" t="s">
        <v>2044</v>
      </c>
      <c r="R624" s="1696"/>
      <c r="S624" s="1696"/>
      <c r="T624" s="1696" t="s">
        <v>2042</v>
      </c>
      <c r="U624" s="1696"/>
      <c r="V624" s="1696"/>
      <c r="W624" s="1854" t="s">
        <v>462</v>
      </c>
      <c r="X624" s="1854"/>
      <c r="Y624" s="1854"/>
      <c r="Z624" s="1418" t="s">
        <v>2452</v>
      </c>
      <c r="AA624" s="1418"/>
      <c r="AB624" s="1419"/>
      <c r="AC624" s="1602" t="s">
        <v>1865</v>
      </c>
      <c r="AD624" s="1603"/>
      <c r="AE624" s="1604"/>
      <c r="AF624" s="1417" t="s">
        <v>2231</v>
      </c>
      <c r="AG624" s="1418"/>
      <c r="AH624" s="1418"/>
      <c r="AI624" s="1418"/>
      <c r="AJ624" s="1419"/>
      <c r="AK624" s="1687" t="s">
        <v>2232</v>
      </c>
      <c r="AL624" s="1688"/>
      <c r="AM624" s="1688"/>
      <c r="AN624" s="1689"/>
      <c r="AO624" s="1696" t="s">
        <v>463</v>
      </c>
      <c r="AP624" s="1696"/>
      <c r="AQ624" s="1696"/>
      <c r="AR624" s="1696"/>
      <c r="AS624" s="1696"/>
      <c r="AU624" s="3"/>
      <c r="AZ624" s="3"/>
      <c r="BA624" s="3"/>
      <c r="BB624" s="3"/>
      <c r="BC624" s="3"/>
      <c r="BD624" s="3"/>
      <c r="BE624" s="1395">
        <f t="shared" si="1"/>
        <v>0</v>
      </c>
      <c r="BF624" s="1397"/>
      <c r="BG624" s="1414">
        <f t="shared" si="2"/>
        <v>0</v>
      </c>
      <c r="BH624" s="1415"/>
      <c r="BI624" s="1395">
        <f t="shared" si="3"/>
        <v>0</v>
      </c>
      <c r="BJ624" s="1397"/>
      <c r="BK624" s="1414">
        <f t="shared" si="4"/>
        <v>0</v>
      </c>
      <c r="BL624" s="1415"/>
      <c r="BM624" s="3"/>
      <c r="BN624" s="1406">
        <f t="shared" si="5"/>
        <v>0</v>
      </c>
      <c r="BO624" s="1407"/>
      <c r="BP624" s="1407"/>
      <c r="BQ624" s="1407"/>
      <c r="BR624" s="1408"/>
      <c r="BS624" s="1409">
        <f t="shared" si="6"/>
        <v>0</v>
      </c>
      <c r="BT624" s="1409"/>
      <c r="BU624" s="1409"/>
      <c r="BV624" s="1409"/>
      <c r="BW624" s="1409"/>
      <c r="BX624" s="1409">
        <f t="shared" si="7"/>
        <v>0</v>
      </c>
      <c r="BY624" s="1409"/>
      <c r="BZ624" s="1409"/>
      <c r="CA624" s="1409"/>
      <c r="CB624" s="1409"/>
      <c r="CC624" s="1409">
        <f t="shared" si="8"/>
        <v>0</v>
      </c>
      <c r="CD624" s="1409"/>
      <c r="CE624" s="1409"/>
      <c r="CF624" s="1409"/>
      <c r="CG624" s="1409"/>
      <c r="CH624" s="1409">
        <f t="shared" si="9"/>
        <v>0</v>
      </c>
      <c r="CI624" s="1409"/>
      <c r="CJ624" s="1409"/>
      <c r="CK624" s="1409"/>
      <c r="CL624" s="1409"/>
      <c r="CM624" s="1409">
        <f t="shared" si="10"/>
        <v>0</v>
      </c>
      <c r="CN624" s="1409"/>
      <c r="CO624" s="1409"/>
      <c r="CP624" s="1409"/>
      <c r="CQ624" s="1409"/>
      <c r="CR624" s="6"/>
      <c r="CS624" s="1405">
        <f t="shared" si="11"/>
        <v>0</v>
      </c>
      <c r="CT624" s="1405"/>
      <c r="CU624" s="1405"/>
      <c r="CV624" s="1405"/>
      <c r="CW624" s="1405"/>
      <c r="CX624" s="1405">
        <f t="shared" si="12"/>
        <v>0</v>
      </c>
      <c r="CY624" s="1405"/>
      <c r="CZ624" s="1405"/>
      <c r="DA624" s="1405"/>
      <c r="DB624" s="1405"/>
      <c r="DC624" s="1405">
        <f t="shared" si="13"/>
        <v>0</v>
      </c>
      <c r="DD624" s="1405"/>
      <c r="DE624" s="1405"/>
      <c r="DF624" s="1405"/>
      <c r="DG624" s="1405"/>
      <c r="DH624" s="1405">
        <f t="shared" si="14"/>
        <v>0</v>
      </c>
      <c r="DI624" s="1405"/>
      <c r="DJ624" s="1405"/>
      <c r="DK624" s="1405"/>
      <c r="DL624" s="1405"/>
      <c r="DM624" s="1405">
        <f t="shared" si="15"/>
        <v>0</v>
      </c>
      <c r="DN624" s="1405"/>
      <c r="DO624" s="1405"/>
      <c r="DP624" s="1405"/>
      <c r="DQ624" s="1405"/>
      <c r="DR624" s="1405">
        <f t="shared" si="16"/>
        <v>0</v>
      </c>
      <c r="DS624" s="1405"/>
      <c r="DT624" s="1405"/>
      <c r="DU624" s="1405"/>
      <c r="DV624" s="1405"/>
      <c r="DX624" s="1395" t="str">
        <f t="shared" si="17"/>
        <v/>
      </c>
      <c r="DY624" s="1396"/>
      <c r="DZ624" s="1396"/>
      <c r="EA624" s="1396"/>
      <c r="EB624" s="1397"/>
      <c r="EC624" s="1395" t="str">
        <f t="shared" si="18"/>
        <v/>
      </c>
      <c r="ED624" s="1396"/>
      <c r="EE624" s="1396"/>
      <c r="EF624" s="1396"/>
      <c r="EG624" s="1397"/>
      <c r="EH624" s="1395" t="str">
        <f t="shared" si="19"/>
        <v/>
      </c>
      <c r="EI624" s="1396"/>
      <c r="EJ624" s="1396"/>
      <c r="EK624" s="1396"/>
      <c r="EL624" s="1397"/>
      <c r="EM624" s="1395" t="str">
        <f t="shared" si="20"/>
        <v/>
      </c>
      <c r="EN624" s="1396"/>
      <c r="EO624" s="1396"/>
      <c r="EP624" s="1396"/>
      <c r="EQ624" s="1397"/>
      <c r="ER624" s="1395" t="str">
        <f t="shared" si="21"/>
        <v/>
      </c>
      <c r="ES624" s="1396"/>
      <c r="ET624" s="1396"/>
      <c r="EU624" s="1396"/>
      <c r="EV624" s="1397"/>
      <c r="EW624" s="1395" t="str">
        <f t="shared" si="22"/>
        <v/>
      </c>
      <c r="EX624" s="1396"/>
      <c r="EY624" s="1396"/>
      <c r="EZ624" s="1396"/>
      <c r="FA624" s="1397"/>
    </row>
    <row r="625" spans="2:157" ht="12.95" customHeight="1">
      <c r="B625" s="1700"/>
      <c r="C625" s="1700"/>
      <c r="D625" s="1700"/>
      <c r="E625" s="1700"/>
      <c r="F625" s="1700"/>
      <c r="G625" s="1700"/>
      <c r="H625" s="1700"/>
      <c r="I625" s="1700"/>
      <c r="J625" s="1700"/>
      <c r="K625" s="1700"/>
      <c r="L625" s="1700"/>
      <c r="M625" s="1696"/>
      <c r="N625" s="1696"/>
      <c r="O625" s="1696"/>
      <c r="P625" s="1696"/>
      <c r="Q625" s="1696"/>
      <c r="R625" s="1696"/>
      <c r="S625" s="1696"/>
      <c r="T625" s="1696"/>
      <c r="U625" s="1696"/>
      <c r="V625" s="1696"/>
      <c r="W625" s="1854"/>
      <c r="X625" s="1854"/>
      <c r="Y625" s="1854"/>
      <c r="Z625" s="1421"/>
      <c r="AA625" s="1421"/>
      <c r="AB625" s="1422"/>
      <c r="AC625" s="1605"/>
      <c r="AD625" s="1606"/>
      <c r="AE625" s="1607"/>
      <c r="AF625" s="1420"/>
      <c r="AG625" s="1421"/>
      <c r="AH625" s="1421"/>
      <c r="AI625" s="1421"/>
      <c r="AJ625" s="1422"/>
      <c r="AK625" s="1690"/>
      <c r="AL625" s="1691"/>
      <c r="AM625" s="1691"/>
      <c r="AN625" s="1692"/>
      <c r="AO625" s="1696"/>
      <c r="AP625" s="1696"/>
      <c r="AQ625" s="1696"/>
      <c r="AR625" s="1696"/>
      <c r="AS625" s="1696"/>
      <c r="AU625" s="3"/>
      <c r="AZ625" s="3"/>
      <c r="BA625" s="3"/>
      <c r="BB625" s="3"/>
      <c r="BC625" s="3"/>
      <c r="BD625" s="3"/>
      <c r="BE625" s="1395">
        <f t="shared" si="1"/>
        <v>0</v>
      </c>
      <c r="BF625" s="1397"/>
      <c r="BG625" s="1414">
        <f t="shared" si="2"/>
        <v>0</v>
      </c>
      <c r="BH625" s="1415"/>
      <c r="BI625" s="1395">
        <f t="shared" si="3"/>
        <v>0</v>
      </c>
      <c r="BJ625" s="1397"/>
      <c r="BK625" s="1414">
        <f t="shared" si="4"/>
        <v>0</v>
      </c>
      <c r="BL625" s="1415"/>
      <c r="BM625" s="3"/>
      <c r="BN625" s="1406">
        <f t="shared" si="5"/>
        <v>0</v>
      </c>
      <c r="BO625" s="1407"/>
      <c r="BP625" s="1407"/>
      <c r="BQ625" s="1407"/>
      <c r="BR625" s="1408"/>
      <c r="BS625" s="1409">
        <f t="shared" si="6"/>
        <v>0</v>
      </c>
      <c r="BT625" s="1409"/>
      <c r="BU625" s="1409"/>
      <c r="BV625" s="1409"/>
      <c r="BW625" s="1409"/>
      <c r="BX625" s="1409">
        <f t="shared" si="7"/>
        <v>0</v>
      </c>
      <c r="BY625" s="1409"/>
      <c r="BZ625" s="1409"/>
      <c r="CA625" s="1409"/>
      <c r="CB625" s="1409"/>
      <c r="CC625" s="1409">
        <f t="shared" si="8"/>
        <v>0</v>
      </c>
      <c r="CD625" s="1409"/>
      <c r="CE625" s="1409"/>
      <c r="CF625" s="1409"/>
      <c r="CG625" s="1409"/>
      <c r="CH625" s="1409">
        <f t="shared" si="9"/>
        <v>0</v>
      </c>
      <c r="CI625" s="1409"/>
      <c r="CJ625" s="1409"/>
      <c r="CK625" s="1409"/>
      <c r="CL625" s="1409"/>
      <c r="CM625" s="1409">
        <f t="shared" si="10"/>
        <v>0</v>
      </c>
      <c r="CN625" s="1409"/>
      <c r="CO625" s="1409"/>
      <c r="CP625" s="1409"/>
      <c r="CQ625" s="1409"/>
      <c r="CR625" s="6"/>
      <c r="CS625" s="1405">
        <f t="shared" si="11"/>
        <v>0</v>
      </c>
      <c r="CT625" s="1405"/>
      <c r="CU625" s="1405"/>
      <c r="CV625" s="1405"/>
      <c r="CW625" s="1405"/>
      <c r="CX625" s="1405">
        <f t="shared" si="12"/>
        <v>0</v>
      </c>
      <c r="CY625" s="1405"/>
      <c r="CZ625" s="1405"/>
      <c r="DA625" s="1405"/>
      <c r="DB625" s="1405"/>
      <c r="DC625" s="1405">
        <f t="shared" si="13"/>
        <v>0</v>
      </c>
      <c r="DD625" s="1405"/>
      <c r="DE625" s="1405"/>
      <c r="DF625" s="1405"/>
      <c r="DG625" s="1405"/>
      <c r="DH625" s="1405">
        <f t="shared" si="14"/>
        <v>0</v>
      </c>
      <c r="DI625" s="1405"/>
      <c r="DJ625" s="1405"/>
      <c r="DK625" s="1405"/>
      <c r="DL625" s="1405"/>
      <c r="DM625" s="1405">
        <f t="shared" si="15"/>
        <v>0</v>
      </c>
      <c r="DN625" s="1405"/>
      <c r="DO625" s="1405"/>
      <c r="DP625" s="1405"/>
      <c r="DQ625" s="1405"/>
      <c r="DR625" s="1405">
        <f t="shared" si="16"/>
        <v>0</v>
      </c>
      <c r="DS625" s="1405"/>
      <c r="DT625" s="1405"/>
      <c r="DU625" s="1405"/>
      <c r="DV625" s="1405"/>
      <c r="DX625" s="1395" t="str">
        <f t="shared" si="17"/>
        <v/>
      </c>
      <c r="DY625" s="1396"/>
      <c r="DZ625" s="1396"/>
      <c r="EA625" s="1396"/>
      <c r="EB625" s="1397"/>
      <c r="EC625" s="1395" t="str">
        <f t="shared" si="18"/>
        <v/>
      </c>
      <c r="ED625" s="1396"/>
      <c r="EE625" s="1396"/>
      <c r="EF625" s="1396"/>
      <c r="EG625" s="1397"/>
      <c r="EH625" s="1395" t="str">
        <f t="shared" si="19"/>
        <v/>
      </c>
      <c r="EI625" s="1396"/>
      <c r="EJ625" s="1396"/>
      <c r="EK625" s="1396"/>
      <c r="EL625" s="1397"/>
      <c r="EM625" s="1395" t="str">
        <f t="shared" si="20"/>
        <v/>
      </c>
      <c r="EN625" s="1396"/>
      <c r="EO625" s="1396"/>
      <c r="EP625" s="1396"/>
      <c r="EQ625" s="1397"/>
      <c r="ER625" s="1395" t="str">
        <f t="shared" si="21"/>
        <v/>
      </c>
      <c r="ES625" s="1396"/>
      <c r="ET625" s="1396"/>
      <c r="EU625" s="1396"/>
      <c r="EV625" s="1397"/>
      <c r="EW625" s="1395" t="str">
        <f t="shared" si="22"/>
        <v/>
      </c>
      <c r="EX625" s="1396"/>
      <c r="EY625" s="1396"/>
      <c r="EZ625" s="1396"/>
      <c r="FA625" s="1397"/>
    </row>
    <row r="626" spans="2:157" ht="12.95" customHeight="1">
      <c r="B626" s="1700"/>
      <c r="C626" s="1700"/>
      <c r="D626" s="1700"/>
      <c r="E626" s="1700"/>
      <c r="F626" s="1700"/>
      <c r="G626" s="1700"/>
      <c r="H626" s="1700"/>
      <c r="I626" s="1700"/>
      <c r="J626" s="1700"/>
      <c r="K626" s="1700"/>
      <c r="L626" s="1700"/>
      <c r="M626" s="1696"/>
      <c r="N626" s="1696"/>
      <c r="O626" s="1696"/>
      <c r="P626" s="1696"/>
      <c r="Q626" s="1696"/>
      <c r="R626" s="1696"/>
      <c r="S626" s="1696"/>
      <c r="T626" s="1696"/>
      <c r="U626" s="1696"/>
      <c r="V626" s="1696"/>
      <c r="W626" s="1854"/>
      <c r="X626" s="1854"/>
      <c r="Y626" s="1854"/>
      <c r="Z626" s="1424"/>
      <c r="AA626" s="1424"/>
      <c r="AB626" s="1425"/>
      <c r="AC626" s="1608"/>
      <c r="AD626" s="1609"/>
      <c r="AE626" s="1610"/>
      <c r="AF626" s="1423"/>
      <c r="AG626" s="1424"/>
      <c r="AH626" s="1424"/>
      <c r="AI626" s="1424"/>
      <c r="AJ626" s="1425"/>
      <c r="AK626" s="1693"/>
      <c r="AL626" s="1694"/>
      <c r="AM626" s="1694"/>
      <c r="AN626" s="1695"/>
      <c r="AO626" s="1696"/>
      <c r="AP626" s="1696"/>
      <c r="AQ626" s="1696"/>
      <c r="AR626" s="1696"/>
      <c r="AS626" s="1696"/>
      <c r="AT626" s="3"/>
      <c r="AU626" s="3"/>
      <c r="AZ626" s="3"/>
      <c r="BA626" s="3"/>
      <c r="BB626" s="3"/>
      <c r="BC626" s="3"/>
      <c r="BD626" s="3"/>
      <c r="BE626" s="1395">
        <f t="shared" si="1"/>
        <v>0</v>
      </c>
      <c r="BF626" s="1397"/>
      <c r="BG626" s="1414">
        <f t="shared" si="2"/>
        <v>0</v>
      </c>
      <c r="BH626" s="1415"/>
      <c r="BI626" s="1395">
        <f t="shared" si="3"/>
        <v>0</v>
      </c>
      <c r="BJ626" s="1397"/>
      <c r="BK626" s="1414">
        <f t="shared" si="4"/>
        <v>0</v>
      </c>
      <c r="BL626" s="1415"/>
      <c r="BM626" s="3"/>
      <c r="BN626" s="1406">
        <f t="shared" si="5"/>
        <v>0</v>
      </c>
      <c r="BO626" s="1407"/>
      <c r="BP626" s="1407"/>
      <c r="BQ626" s="1407"/>
      <c r="BR626" s="1408"/>
      <c r="BS626" s="1409">
        <f t="shared" si="6"/>
        <v>0</v>
      </c>
      <c r="BT626" s="1409"/>
      <c r="BU626" s="1409"/>
      <c r="BV626" s="1409"/>
      <c r="BW626" s="1409"/>
      <c r="BX626" s="1409">
        <f t="shared" si="7"/>
        <v>0</v>
      </c>
      <c r="BY626" s="1409"/>
      <c r="BZ626" s="1409"/>
      <c r="CA626" s="1409"/>
      <c r="CB626" s="1409"/>
      <c r="CC626" s="1409">
        <f t="shared" si="8"/>
        <v>0</v>
      </c>
      <c r="CD626" s="1409"/>
      <c r="CE626" s="1409"/>
      <c r="CF626" s="1409"/>
      <c r="CG626" s="1409"/>
      <c r="CH626" s="1409">
        <f t="shared" si="9"/>
        <v>0</v>
      </c>
      <c r="CI626" s="1409"/>
      <c r="CJ626" s="1409"/>
      <c r="CK626" s="1409"/>
      <c r="CL626" s="1409"/>
      <c r="CM626" s="1409">
        <f t="shared" si="10"/>
        <v>0</v>
      </c>
      <c r="CN626" s="1409"/>
      <c r="CO626" s="1409"/>
      <c r="CP626" s="1409"/>
      <c r="CQ626" s="1409"/>
      <c r="CR626" s="6"/>
      <c r="CS626" s="1405">
        <f t="shared" si="11"/>
        <v>0</v>
      </c>
      <c r="CT626" s="1405"/>
      <c r="CU626" s="1405"/>
      <c r="CV626" s="1405"/>
      <c r="CW626" s="1405"/>
      <c r="CX626" s="1405">
        <f t="shared" si="12"/>
        <v>0</v>
      </c>
      <c r="CY626" s="1405"/>
      <c r="CZ626" s="1405"/>
      <c r="DA626" s="1405"/>
      <c r="DB626" s="1405"/>
      <c r="DC626" s="1405">
        <f t="shared" si="13"/>
        <v>0</v>
      </c>
      <c r="DD626" s="1405"/>
      <c r="DE626" s="1405"/>
      <c r="DF626" s="1405"/>
      <c r="DG626" s="1405"/>
      <c r="DH626" s="1405">
        <f t="shared" si="14"/>
        <v>0</v>
      </c>
      <c r="DI626" s="1405"/>
      <c r="DJ626" s="1405"/>
      <c r="DK626" s="1405"/>
      <c r="DL626" s="1405"/>
      <c r="DM626" s="1405">
        <f t="shared" si="15"/>
        <v>0</v>
      </c>
      <c r="DN626" s="1405"/>
      <c r="DO626" s="1405"/>
      <c r="DP626" s="1405"/>
      <c r="DQ626" s="1405"/>
      <c r="DR626" s="1405">
        <f t="shared" si="16"/>
        <v>0</v>
      </c>
      <c r="DS626" s="1405"/>
      <c r="DT626" s="1405"/>
      <c r="DU626" s="1405"/>
      <c r="DV626" s="1405"/>
      <c r="DX626" s="1395" t="str">
        <f t="shared" si="17"/>
        <v/>
      </c>
      <c r="DY626" s="1396"/>
      <c r="DZ626" s="1396"/>
      <c r="EA626" s="1396"/>
      <c r="EB626" s="1397"/>
      <c r="EC626" s="1395" t="str">
        <f t="shared" si="18"/>
        <v/>
      </c>
      <c r="ED626" s="1396"/>
      <c r="EE626" s="1396"/>
      <c r="EF626" s="1396"/>
      <c r="EG626" s="1397"/>
      <c r="EH626" s="1395" t="str">
        <f t="shared" si="19"/>
        <v/>
      </c>
      <c r="EI626" s="1396"/>
      <c r="EJ626" s="1396"/>
      <c r="EK626" s="1396"/>
      <c r="EL626" s="1397"/>
      <c r="EM626" s="1395" t="str">
        <f t="shared" si="20"/>
        <v/>
      </c>
      <c r="EN626" s="1396"/>
      <c r="EO626" s="1396"/>
      <c r="EP626" s="1396"/>
      <c r="EQ626" s="1397"/>
      <c r="ER626" s="1395" t="str">
        <f t="shared" si="21"/>
        <v/>
      </c>
      <c r="ES626" s="1396"/>
      <c r="ET626" s="1396"/>
      <c r="EU626" s="1396"/>
      <c r="EV626" s="1397"/>
      <c r="EW626" s="1395" t="str">
        <f t="shared" si="22"/>
        <v/>
      </c>
      <c r="EX626" s="1396"/>
      <c r="EY626" s="1396"/>
      <c r="EZ626" s="1396"/>
      <c r="FA626" s="1397"/>
    </row>
    <row r="627" spans="2:157" ht="12.95" customHeight="1">
      <c r="B627" s="51" t="s">
        <v>112</v>
      </c>
      <c r="C627" s="1619" t="s">
        <v>2799</v>
      </c>
      <c r="D627" s="1619"/>
      <c r="E627" s="1619"/>
      <c r="F627" s="1619"/>
      <c r="G627" s="1619"/>
      <c r="H627" s="1619"/>
      <c r="I627" s="1619"/>
      <c r="J627" s="1619"/>
      <c r="K627" s="1619"/>
      <c r="L627" s="1619"/>
      <c r="M627" s="1618" t="s">
        <v>2433</v>
      </c>
      <c r="N627" s="1618"/>
      <c r="O627" s="1618"/>
      <c r="P627" s="1618"/>
      <c r="Q627" s="1564">
        <v>216</v>
      </c>
      <c r="R627" s="1564"/>
      <c r="S627" s="1597"/>
      <c r="T627" s="1596">
        <v>420</v>
      </c>
      <c r="U627" s="1564"/>
      <c r="V627" s="1597"/>
      <c r="W627" s="1614">
        <v>5.3999999999999999E-2</v>
      </c>
      <c r="X627" s="1615"/>
      <c r="Y627" s="1616"/>
      <c r="Z627" s="1538" t="s">
        <v>2451</v>
      </c>
      <c r="AA627" s="1539"/>
      <c r="AB627" s="1540"/>
      <c r="AC627" s="1484">
        <v>1</v>
      </c>
      <c r="AD627" s="1485"/>
      <c r="AE627" s="1486"/>
      <c r="AF627" s="1620">
        <v>1904102</v>
      </c>
      <c r="AG627" s="1621"/>
      <c r="AH627" s="1621"/>
      <c r="AI627" s="1621"/>
      <c r="AJ627" s="1622"/>
      <c r="AK627" s="1611"/>
      <c r="AL627" s="1612"/>
      <c r="AM627" s="1612"/>
      <c r="AN627" s="1613"/>
      <c r="AO627" s="1644">
        <v>29911551</v>
      </c>
      <c r="AP627" s="1644"/>
      <c r="AQ627" s="1644"/>
      <c r="AR627" s="1644"/>
      <c r="AS627" s="1644"/>
      <c r="AT627" s="3"/>
      <c r="AU627" s="3"/>
      <c r="AZ627" s="3"/>
      <c r="BA627" s="3"/>
      <c r="BB627" s="3"/>
      <c r="BC627" s="3"/>
      <c r="BD627" s="3"/>
      <c r="BE627" s="1395">
        <f t="shared" si="1"/>
        <v>0</v>
      </c>
      <c r="BF627" s="1397"/>
      <c r="BG627" s="1414">
        <f t="shared" si="2"/>
        <v>0</v>
      </c>
      <c r="BH627" s="1415"/>
      <c r="BI627" s="1395">
        <f t="shared" si="3"/>
        <v>0</v>
      </c>
      <c r="BJ627" s="1397"/>
      <c r="BK627" s="1414">
        <f t="shared" si="4"/>
        <v>0</v>
      </c>
      <c r="BL627" s="1415"/>
      <c r="BM627" s="3"/>
      <c r="BN627" s="1406">
        <f t="shared" si="5"/>
        <v>0</v>
      </c>
      <c r="BO627" s="1407"/>
      <c r="BP627" s="1407"/>
      <c r="BQ627" s="1407"/>
      <c r="BR627" s="1408"/>
      <c r="BS627" s="1409">
        <f t="shared" si="6"/>
        <v>0</v>
      </c>
      <c r="BT627" s="1409"/>
      <c r="BU627" s="1409"/>
      <c r="BV627" s="1409"/>
      <c r="BW627" s="1409"/>
      <c r="BX627" s="1409">
        <f t="shared" si="7"/>
        <v>0</v>
      </c>
      <c r="BY627" s="1409"/>
      <c r="BZ627" s="1409"/>
      <c r="CA627" s="1409"/>
      <c r="CB627" s="1409"/>
      <c r="CC627" s="1409">
        <f t="shared" si="8"/>
        <v>0</v>
      </c>
      <c r="CD627" s="1409"/>
      <c r="CE627" s="1409"/>
      <c r="CF627" s="1409"/>
      <c r="CG627" s="1409"/>
      <c r="CH627" s="1409">
        <f t="shared" si="9"/>
        <v>0</v>
      </c>
      <c r="CI627" s="1409"/>
      <c r="CJ627" s="1409"/>
      <c r="CK627" s="1409"/>
      <c r="CL627" s="1409"/>
      <c r="CM627" s="1409">
        <f t="shared" si="10"/>
        <v>0</v>
      </c>
      <c r="CN627" s="1409"/>
      <c r="CO627" s="1409"/>
      <c r="CP627" s="1409"/>
      <c r="CQ627" s="1409"/>
      <c r="CR627" s="6"/>
      <c r="CS627" s="1405">
        <f t="shared" si="11"/>
        <v>0</v>
      </c>
      <c r="CT627" s="1405"/>
      <c r="CU627" s="1405"/>
      <c r="CV627" s="1405"/>
      <c r="CW627" s="1405"/>
      <c r="CX627" s="1405">
        <f t="shared" si="12"/>
        <v>0</v>
      </c>
      <c r="CY627" s="1405"/>
      <c r="CZ627" s="1405"/>
      <c r="DA627" s="1405"/>
      <c r="DB627" s="1405"/>
      <c r="DC627" s="1405">
        <f t="shared" si="13"/>
        <v>0</v>
      </c>
      <c r="DD627" s="1405"/>
      <c r="DE627" s="1405"/>
      <c r="DF627" s="1405"/>
      <c r="DG627" s="1405"/>
      <c r="DH627" s="1405">
        <f t="shared" si="14"/>
        <v>0</v>
      </c>
      <c r="DI627" s="1405"/>
      <c r="DJ627" s="1405"/>
      <c r="DK627" s="1405"/>
      <c r="DL627" s="1405"/>
      <c r="DM627" s="1405">
        <f t="shared" si="15"/>
        <v>0</v>
      </c>
      <c r="DN627" s="1405"/>
      <c r="DO627" s="1405"/>
      <c r="DP627" s="1405"/>
      <c r="DQ627" s="1405"/>
      <c r="DR627" s="1405">
        <f t="shared" si="16"/>
        <v>0</v>
      </c>
      <c r="DS627" s="1405"/>
      <c r="DT627" s="1405"/>
      <c r="DU627" s="1405"/>
      <c r="DV627" s="1405"/>
      <c r="DX627" s="1395" t="str">
        <f t="shared" si="17"/>
        <v/>
      </c>
      <c r="DY627" s="1396"/>
      <c r="DZ627" s="1396"/>
      <c r="EA627" s="1396"/>
      <c r="EB627" s="1397"/>
      <c r="EC627" s="1395" t="str">
        <f t="shared" si="18"/>
        <v/>
      </c>
      <c r="ED627" s="1396"/>
      <c r="EE627" s="1396"/>
      <c r="EF627" s="1396"/>
      <c r="EG627" s="1397"/>
      <c r="EH627" s="1395" t="str">
        <f t="shared" si="19"/>
        <v/>
      </c>
      <c r="EI627" s="1396"/>
      <c r="EJ627" s="1396"/>
      <c r="EK627" s="1396"/>
      <c r="EL627" s="1397"/>
      <c r="EM627" s="1395" t="str">
        <f t="shared" si="20"/>
        <v/>
      </c>
      <c r="EN627" s="1396"/>
      <c r="EO627" s="1396"/>
      <c r="EP627" s="1396"/>
      <c r="EQ627" s="1397"/>
      <c r="ER627" s="1395" t="str">
        <f t="shared" si="21"/>
        <v/>
      </c>
      <c r="ES627" s="1396"/>
      <c r="ET627" s="1396"/>
      <c r="EU627" s="1396"/>
      <c r="EV627" s="1397"/>
      <c r="EW627" s="1395" t="str">
        <f t="shared" si="22"/>
        <v/>
      </c>
      <c r="EX627" s="1396"/>
      <c r="EY627" s="1396"/>
      <c r="EZ627" s="1396"/>
      <c r="FA627" s="1397"/>
    </row>
    <row r="628" spans="2:157" ht="12.95" customHeight="1">
      <c r="B628" s="52" t="s">
        <v>113</v>
      </c>
      <c r="C628" s="1619" t="s">
        <v>2754</v>
      </c>
      <c r="D628" s="1619"/>
      <c r="E628" s="1619"/>
      <c r="F628" s="1619"/>
      <c r="G628" s="1619"/>
      <c r="H628" s="1619"/>
      <c r="I628" s="1619"/>
      <c r="J628" s="1619"/>
      <c r="K628" s="1619"/>
      <c r="L628" s="1619"/>
      <c r="M628" s="1618" t="s">
        <v>2435</v>
      </c>
      <c r="N628" s="1618"/>
      <c r="O628" s="1618"/>
      <c r="P628" s="1618"/>
      <c r="Q628" s="1596">
        <v>660</v>
      </c>
      <c r="R628" s="1564"/>
      <c r="S628" s="1597"/>
      <c r="T628" s="1596"/>
      <c r="U628" s="1564"/>
      <c r="V628" s="1597"/>
      <c r="W628" s="1614">
        <v>0.03</v>
      </c>
      <c r="X628" s="1615"/>
      <c r="Y628" s="1616"/>
      <c r="Z628" s="1538" t="s">
        <v>466</v>
      </c>
      <c r="AA628" s="1539"/>
      <c r="AB628" s="1540"/>
      <c r="AC628" s="1484">
        <v>2</v>
      </c>
      <c r="AD628" s="1485"/>
      <c r="AE628" s="1486"/>
      <c r="AF628" s="1620"/>
      <c r="AG628" s="1621"/>
      <c r="AH628" s="1621"/>
      <c r="AI628" s="1621"/>
      <c r="AJ628" s="1622"/>
      <c r="AK628" s="1611"/>
      <c r="AL628" s="1612"/>
      <c r="AM628" s="1612"/>
      <c r="AN628" s="1613"/>
      <c r="AO628" s="1399">
        <v>2074732</v>
      </c>
      <c r="AP628" s="1400"/>
      <c r="AQ628" s="1400"/>
      <c r="AR628" s="1400"/>
      <c r="AS628" s="1401"/>
      <c r="AT628" s="1192" t="str">
        <f>IF(AND(NOT(C627=""),C628="",NOT(C629="")),"!","")</f>
        <v/>
      </c>
      <c r="AU628" s="3"/>
      <c r="AZ628" s="3"/>
      <c r="BA628" s="3"/>
      <c r="BB628" s="3"/>
      <c r="BC628" s="3"/>
      <c r="BD628" s="3"/>
      <c r="BE628" s="1395">
        <f t="shared" si="1"/>
        <v>0</v>
      </c>
      <c r="BF628" s="1397"/>
      <c r="BG628" s="1414">
        <f t="shared" si="2"/>
        <v>0</v>
      </c>
      <c r="BH628" s="1415"/>
      <c r="BI628" s="1395">
        <f t="shared" si="3"/>
        <v>0</v>
      </c>
      <c r="BJ628" s="1397"/>
      <c r="BK628" s="1414">
        <f t="shared" si="4"/>
        <v>0</v>
      </c>
      <c r="BL628" s="1415"/>
      <c r="BM628" s="3"/>
      <c r="BN628" s="1406">
        <f t="shared" si="5"/>
        <v>0</v>
      </c>
      <c r="BO628" s="1407"/>
      <c r="BP628" s="1407"/>
      <c r="BQ628" s="1407"/>
      <c r="BR628" s="1408"/>
      <c r="BS628" s="1409">
        <f t="shared" si="6"/>
        <v>0</v>
      </c>
      <c r="BT628" s="1409"/>
      <c r="BU628" s="1409"/>
      <c r="BV628" s="1409"/>
      <c r="BW628" s="1409"/>
      <c r="BX628" s="1409">
        <f t="shared" si="7"/>
        <v>0</v>
      </c>
      <c r="BY628" s="1409"/>
      <c r="BZ628" s="1409"/>
      <c r="CA628" s="1409"/>
      <c r="CB628" s="1409"/>
      <c r="CC628" s="1409">
        <f t="shared" si="8"/>
        <v>0</v>
      </c>
      <c r="CD628" s="1409"/>
      <c r="CE628" s="1409"/>
      <c r="CF628" s="1409"/>
      <c r="CG628" s="1409"/>
      <c r="CH628" s="1409">
        <f t="shared" si="9"/>
        <v>0</v>
      </c>
      <c r="CI628" s="1409"/>
      <c r="CJ628" s="1409"/>
      <c r="CK628" s="1409"/>
      <c r="CL628" s="1409"/>
      <c r="CM628" s="1409">
        <f t="shared" si="10"/>
        <v>0</v>
      </c>
      <c r="CN628" s="1409"/>
      <c r="CO628" s="1409"/>
      <c r="CP628" s="1409"/>
      <c r="CQ628" s="1409"/>
      <c r="CR628" s="6"/>
      <c r="CS628" s="1405">
        <f t="shared" si="11"/>
        <v>0</v>
      </c>
      <c r="CT628" s="1405"/>
      <c r="CU628" s="1405"/>
      <c r="CV628" s="1405"/>
      <c r="CW628" s="1405"/>
      <c r="CX628" s="1405">
        <f t="shared" si="12"/>
        <v>0</v>
      </c>
      <c r="CY628" s="1405"/>
      <c r="CZ628" s="1405"/>
      <c r="DA628" s="1405"/>
      <c r="DB628" s="1405"/>
      <c r="DC628" s="1405">
        <f t="shared" si="13"/>
        <v>0</v>
      </c>
      <c r="DD628" s="1405"/>
      <c r="DE628" s="1405"/>
      <c r="DF628" s="1405"/>
      <c r="DG628" s="1405"/>
      <c r="DH628" s="1405">
        <f t="shared" si="14"/>
        <v>0</v>
      </c>
      <c r="DI628" s="1405"/>
      <c r="DJ628" s="1405"/>
      <c r="DK628" s="1405"/>
      <c r="DL628" s="1405"/>
      <c r="DM628" s="1405">
        <f t="shared" si="15"/>
        <v>0</v>
      </c>
      <c r="DN628" s="1405"/>
      <c r="DO628" s="1405"/>
      <c r="DP628" s="1405"/>
      <c r="DQ628" s="1405"/>
      <c r="DR628" s="1405">
        <f t="shared" si="16"/>
        <v>0</v>
      </c>
      <c r="DS628" s="1405"/>
      <c r="DT628" s="1405"/>
      <c r="DU628" s="1405"/>
      <c r="DV628" s="1405"/>
      <c r="DX628" s="1395" t="str">
        <f t="shared" si="17"/>
        <v/>
      </c>
      <c r="DY628" s="1396"/>
      <c r="DZ628" s="1396"/>
      <c r="EA628" s="1396"/>
      <c r="EB628" s="1397"/>
      <c r="EC628" s="1395" t="str">
        <f t="shared" si="18"/>
        <v/>
      </c>
      <c r="ED628" s="1396"/>
      <c r="EE628" s="1396"/>
      <c r="EF628" s="1396"/>
      <c r="EG628" s="1397"/>
      <c r="EH628" s="1395" t="str">
        <f t="shared" si="19"/>
        <v/>
      </c>
      <c r="EI628" s="1396"/>
      <c r="EJ628" s="1396"/>
      <c r="EK628" s="1396"/>
      <c r="EL628" s="1397"/>
      <c r="EM628" s="1395" t="str">
        <f t="shared" si="20"/>
        <v/>
      </c>
      <c r="EN628" s="1396"/>
      <c r="EO628" s="1396"/>
      <c r="EP628" s="1396"/>
      <c r="EQ628" s="1397"/>
      <c r="ER628" s="1395" t="str">
        <f t="shared" si="21"/>
        <v/>
      </c>
      <c r="ES628" s="1396"/>
      <c r="ET628" s="1396"/>
      <c r="EU628" s="1396"/>
      <c r="EV628" s="1397"/>
      <c r="EW628" s="1395" t="str">
        <f t="shared" si="22"/>
        <v/>
      </c>
      <c r="EX628" s="1396"/>
      <c r="EY628" s="1396"/>
      <c r="EZ628" s="1396"/>
      <c r="FA628" s="1397"/>
    </row>
    <row r="629" spans="2:157" ht="12.95" customHeight="1">
      <c r="B629" s="52" t="s">
        <v>119</v>
      </c>
      <c r="C629" s="1619" t="s">
        <v>2746</v>
      </c>
      <c r="D629" s="1619"/>
      <c r="E629" s="1619"/>
      <c r="F629" s="1619"/>
      <c r="G629" s="1619"/>
      <c r="H629" s="1619"/>
      <c r="I629" s="1619"/>
      <c r="J629" s="1619"/>
      <c r="K629" s="1619"/>
      <c r="L629" s="1619"/>
      <c r="M629" s="1618" t="s">
        <v>2432</v>
      </c>
      <c r="N629" s="1618"/>
      <c r="O629" s="1618"/>
      <c r="P629" s="1618"/>
      <c r="Q629" s="1596">
        <v>660</v>
      </c>
      <c r="R629" s="1564"/>
      <c r="S629" s="1597"/>
      <c r="T629" s="1596"/>
      <c r="U629" s="1564"/>
      <c r="V629" s="1597"/>
      <c r="W629" s="1614">
        <v>0</v>
      </c>
      <c r="X629" s="1615"/>
      <c r="Y629" s="1616"/>
      <c r="Z629" s="1538" t="s">
        <v>1291</v>
      </c>
      <c r="AA629" s="1539"/>
      <c r="AB629" s="1540"/>
      <c r="AC629" s="1484">
        <v>3</v>
      </c>
      <c r="AD629" s="1485"/>
      <c r="AE629" s="1486"/>
      <c r="AF629" s="1620"/>
      <c r="AG629" s="1621"/>
      <c r="AH629" s="1621"/>
      <c r="AI629" s="1621"/>
      <c r="AJ629" s="1622"/>
      <c r="AK629" s="1611"/>
      <c r="AL629" s="1612"/>
      <c r="AM629" s="1612"/>
      <c r="AN629" s="1613"/>
      <c r="AO629" s="1399">
        <v>6811172</v>
      </c>
      <c r="AP629" s="1400"/>
      <c r="AQ629" s="1400"/>
      <c r="AR629" s="1400"/>
      <c r="AS629" s="1401"/>
      <c r="AT629" s="1192" t="str">
        <f t="shared" ref="AT629:AT638" si="23">IF(AND(NOT(C628=""),C629="",NOT(C630="")),"!","")</f>
        <v/>
      </c>
      <c r="AU629" s="3"/>
      <c r="AZ629" s="3"/>
      <c r="BA629" s="3"/>
      <c r="BB629" s="3"/>
      <c r="BC629" s="3"/>
      <c r="BD629" s="3"/>
      <c r="BE629" s="1395">
        <f t="shared" si="1"/>
        <v>0</v>
      </c>
      <c r="BF629" s="1397"/>
      <c r="BG629" s="1414">
        <f t="shared" si="2"/>
        <v>0</v>
      </c>
      <c r="BH629" s="1415"/>
      <c r="BI629" s="1395">
        <f t="shared" si="3"/>
        <v>0</v>
      </c>
      <c r="BJ629" s="1397"/>
      <c r="BK629" s="1414">
        <f t="shared" si="4"/>
        <v>0</v>
      </c>
      <c r="BL629" s="1415"/>
      <c r="BM629" s="3"/>
      <c r="BN629" s="1406">
        <f t="shared" si="5"/>
        <v>0</v>
      </c>
      <c r="BO629" s="1407"/>
      <c r="BP629" s="1407"/>
      <c r="BQ629" s="1407"/>
      <c r="BR629" s="1408"/>
      <c r="BS629" s="1409">
        <f t="shared" si="6"/>
        <v>0</v>
      </c>
      <c r="BT629" s="1409"/>
      <c r="BU629" s="1409"/>
      <c r="BV629" s="1409"/>
      <c r="BW629" s="1409"/>
      <c r="BX629" s="1409">
        <f t="shared" si="7"/>
        <v>0</v>
      </c>
      <c r="BY629" s="1409"/>
      <c r="BZ629" s="1409"/>
      <c r="CA629" s="1409"/>
      <c r="CB629" s="1409"/>
      <c r="CC629" s="1409">
        <f t="shared" si="8"/>
        <v>0</v>
      </c>
      <c r="CD629" s="1409"/>
      <c r="CE629" s="1409"/>
      <c r="CF629" s="1409"/>
      <c r="CG629" s="1409"/>
      <c r="CH629" s="1409">
        <f t="shared" si="9"/>
        <v>0</v>
      </c>
      <c r="CI629" s="1409"/>
      <c r="CJ629" s="1409"/>
      <c r="CK629" s="1409"/>
      <c r="CL629" s="1409"/>
      <c r="CM629" s="1409">
        <f t="shared" si="10"/>
        <v>0</v>
      </c>
      <c r="CN629" s="1409"/>
      <c r="CO629" s="1409"/>
      <c r="CP629" s="1409"/>
      <c r="CQ629" s="1409"/>
      <c r="CR629" s="6"/>
      <c r="CS629" s="1405">
        <f t="shared" si="11"/>
        <v>0</v>
      </c>
      <c r="CT629" s="1405"/>
      <c r="CU629" s="1405"/>
      <c r="CV629" s="1405"/>
      <c r="CW629" s="1405"/>
      <c r="CX629" s="1405">
        <f t="shared" si="12"/>
        <v>0</v>
      </c>
      <c r="CY629" s="1405"/>
      <c r="CZ629" s="1405"/>
      <c r="DA629" s="1405"/>
      <c r="DB629" s="1405"/>
      <c r="DC629" s="1405">
        <f t="shared" si="13"/>
        <v>0</v>
      </c>
      <c r="DD629" s="1405"/>
      <c r="DE629" s="1405"/>
      <c r="DF629" s="1405"/>
      <c r="DG629" s="1405"/>
      <c r="DH629" s="1405">
        <f t="shared" si="14"/>
        <v>0</v>
      </c>
      <c r="DI629" s="1405"/>
      <c r="DJ629" s="1405"/>
      <c r="DK629" s="1405"/>
      <c r="DL629" s="1405"/>
      <c r="DM629" s="1405">
        <f t="shared" si="15"/>
        <v>0</v>
      </c>
      <c r="DN629" s="1405"/>
      <c r="DO629" s="1405"/>
      <c r="DP629" s="1405"/>
      <c r="DQ629" s="1405"/>
      <c r="DR629" s="1405">
        <f t="shared" si="16"/>
        <v>0</v>
      </c>
      <c r="DS629" s="1405"/>
      <c r="DT629" s="1405"/>
      <c r="DU629" s="1405"/>
      <c r="DV629" s="1405"/>
      <c r="DX629" s="1395" t="str">
        <f t="shared" si="17"/>
        <v/>
      </c>
      <c r="DY629" s="1396"/>
      <c r="DZ629" s="1396"/>
      <c r="EA629" s="1396"/>
      <c r="EB629" s="1397"/>
      <c r="EC629" s="1395" t="str">
        <f t="shared" si="18"/>
        <v/>
      </c>
      <c r="ED629" s="1396"/>
      <c r="EE629" s="1396"/>
      <c r="EF629" s="1396"/>
      <c r="EG629" s="1397"/>
      <c r="EH629" s="1395" t="str">
        <f t="shared" si="19"/>
        <v/>
      </c>
      <c r="EI629" s="1396"/>
      <c r="EJ629" s="1396"/>
      <c r="EK629" s="1396"/>
      <c r="EL629" s="1397"/>
      <c r="EM629" s="1395" t="str">
        <f t="shared" si="20"/>
        <v/>
      </c>
      <c r="EN629" s="1396"/>
      <c r="EO629" s="1396"/>
      <c r="EP629" s="1396"/>
      <c r="EQ629" s="1397"/>
      <c r="ER629" s="1395" t="str">
        <f t="shared" si="21"/>
        <v/>
      </c>
      <c r="ES629" s="1396"/>
      <c r="ET629" s="1396"/>
      <c r="EU629" s="1396"/>
      <c r="EV629" s="1397"/>
      <c r="EW629" s="1395" t="str">
        <f t="shared" si="22"/>
        <v/>
      </c>
      <c r="EX629" s="1396"/>
      <c r="EY629" s="1396"/>
      <c r="EZ629" s="1396"/>
      <c r="FA629" s="1397"/>
    </row>
    <row r="630" spans="2:157" ht="12.95" customHeight="1">
      <c r="B630" s="52" t="s">
        <v>590</v>
      </c>
      <c r="C630" s="1619" t="s">
        <v>1851</v>
      </c>
      <c r="D630" s="1623"/>
      <c r="E630" s="1623"/>
      <c r="F630" s="1623"/>
      <c r="G630" s="1623"/>
      <c r="H630" s="1623"/>
      <c r="I630" s="1623"/>
      <c r="J630" s="1623"/>
      <c r="K630" s="1623"/>
      <c r="L630" s="1623"/>
      <c r="M630" s="1618" t="s">
        <v>2426</v>
      </c>
      <c r="N630" s="1618"/>
      <c r="O630" s="1618"/>
      <c r="P630" s="1618"/>
      <c r="Q630" s="1596"/>
      <c r="R630" s="1564"/>
      <c r="S630" s="1597"/>
      <c r="T630" s="1596"/>
      <c r="U630" s="1564"/>
      <c r="V630" s="1597"/>
      <c r="W630" s="1614"/>
      <c r="X630" s="1615"/>
      <c r="Y630" s="1616"/>
      <c r="Z630" s="1538" t="s">
        <v>1291</v>
      </c>
      <c r="AA630" s="1539"/>
      <c r="AB630" s="1540"/>
      <c r="AC630" s="1484"/>
      <c r="AD630" s="1485"/>
      <c r="AE630" s="1486"/>
      <c r="AF630" s="1620"/>
      <c r="AG630" s="1621"/>
      <c r="AH630" s="1621"/>
      <c r="AI630" s="1621"/>
      <c r="AJ630" s="1622"/>
      <c r="AK630" s="1611"/>
      <c r="AL630" s="1612"/>
      <c r="AM630" s="1612"/>
      <c r="AN630" s="1613"/>
      <c r="AO630" s="1399">
        <v>6242350</v>
      </c>
      <c r="AP630" s="1400"/>
      <c r="AQ630" s="1400"/>
      <c r="AR630" s="1400"/>
      <c r="AS630" s="1401"/>
      <c r="AT630" s="1192" t="str">
        <f t="shared" si="23"/>
        <v/>
      </c>
      <c r="AU630" s="3"/>
      <c r="AZ630" s="3"/>
      <c r="BA630" s="3"/>
      <c r="BB630" s="3"/>
      <c r="BC630" s="3"/>
      <c r="BD630" s="3"/>
      <c r="BE630" s="1395">
        <f t="shared" si="1"/>
        <v>0</v>
      </c>
      <c r="BF630" s="1397"/>
      <c r="BG630" s="1414">
        <f t="shared" si="2"/>
        <v>0</v>
      </c>
      <c r="BH630" s="1415"/>
      <c r="BI630" s="1395">
        <f t="shared" si="3"/>
        <v>0</v>
      </c>
      <c r="BJ630" s="1397"/>
      <c r="BK630" s="1414">
        <f t="shared" si="4"/>
        <v>0</v>
      </c>
      <c r="BL630" s="1415"/>
      <c r="BM630" s="3"/>
      <c r="BN630" s="1406">
        <f t="shared" si="5"/>
        <v>0</v>
      </c>
      <c r="BO630" s="1407"/>
      <c r="BP630" s="1407"/>
      <c r="BQ630" s="1407"/>
      <c r="BR630" s="1408"/>
      <c r="BS630" s="1409">
        <f t="shared" si="6"/>
        <v>0</v>
      </c>
      <c r="BT630" s="1409"/>
      <c r="BU630" s="1409"/>
      <c r="BV630" s="1409"/>
      <c r="BW630" s="1409"/>
      <c r="BX630" s="1409">
        <f t="shared" si="7"/>
        <v>0</v>
      </c>
      <c r="BY630" s="1409"/>
      <c r="BZ630" s="1409"/>
      <c r="CA630" s="1409"/>
      <c r="CB630" s="1409"/>
      <c r="CC630" s="1409">
        <f t="shared" si="8"/>
        <v>0</v>
      </c>
      <c r="CD630" s="1409"/>
      <c r="CE630" s="1409"/>
      <c r="CF630" s="1409"/>
      <c r="CG630" s="1409"/>
      <c r="CH630" s="1409">
        <f t="shared" si="9"/>
        <v>0</v>
      </c>
      <c r="CI630" s="1409"/>
      <c r="CJ630" s="1409"/>
      <c r="CK630" s="1409"/>
      <c r="CL630" s="1409"/>
      <c r="CM630" s="1409">
        <f t="shared" si="10"/>
        <v>0</v>
      </c>
      <c r="CN630" s="1409"/>
      <c r="CO630" s="1409"/>
      <c r="CP630" s="1409"/>
      <c r="CQ630" s="1409"/>
      <c r="CR630" s="6"/>
      <c r="CS630" s="1405">
        <f t="shared" si="11"/>
        <v>0</v>
      </c>
      <c r="CT630" s="1405"/>
      <c r="CU630" s="1405"/>
      <c r="CV630" s="1405"/>
      <c r="CW630" s="1405"/>
      <c r="CX630" s="1405">
        <f t="shared" si="12"/>
        <v>0</v>
      </c>
      <c r="CY630" s="1405"/>
      <c r="CZ630" s="1405"/>
      <c r="DA630" s="1405"/>
      <c r="DB630" s="1405"/>
      <c r="DC630" s="1405">
        <f t="shared" si="13"/>
        <v>0</v>
      </c>
      <c r="DD630" s="1405"/>
      <c r="DE630" s="1405"/>
      <c r="DF630" s="1405"/>
      <c r="DG630" s="1405"/>
      <c r="DH630" s="1405">
        <f t="shared" si="14"/>
        <v>0</v>
      </c>
      <c r="DI630" s="1405"/>
      <c r="DJ630" s="1405"/>
      <c r="DK630" s="1405"/>
      <c r="DL630" s="1405"/>
      <c r="DM630" s="1405">
        <f t="shared" si="15"/>
        <v>0</v>
      </c>
      <c r="DN630" s="1405"/>
      <c r="DO630" s="1405"/>
      <c r="DP630" s="1405"/>
      <c r="DQ630" s="1405"/>
      <c r="DR630" s="1405">
        <f t="shared" si="16"/>
        <v>0</v>
      </c>
      <c r="DS630" s="1405"/>
      <c r="DT630" s="1405"/>
      <c r="DU630" s="1405"/>
      <c r="DV630" s="1405"/>
      <c r="DX630" s="1395" t="str">
        <f t="shared" si="17"/>
        <v/>
      </c>
      <c r="DY630" s="1396"/>
      <c r="DZ630" s="1396"/>
      <c r="EA630" s="1396"/>
      <c r="EB630" s="1397"/>
      <c r="EC630" s="1395" t="str">
        <f t="shared" si="18"/>
        <v/>
      </c>
      <c r="ED630" s="1396"/>
      <c r="EE630" s="1396"/>
      <c r="EF630" s="1396"/>
      <c r="EG630" s="1397"/>
      <c r="EH630" s="1395" t="str">
        <f t="shared" si="19"/>
        <v/>
      </c>
      <c r="EI630" s="1396"/>
      <c r="EJ630" s="1396"/>
      <c r="EK630" s="1396"/>
      <c r="EL630" s="1397"/>
      <c r="EM630" s="1395" t="str">
        <f t="shared" si="20"/>
        <v/>
      </c>
      <c r="EN630" s="1396"/>
      <c r="EO630" s="1396"/>
      <c r="EP630" s="1396"/>
      <c r="EQ630" s="1397"/>
      <c r="ER630" s="1395" t="str">
        <f t="shared" si="21"/>
        <v/>
      </c>
      <c r="ES630" s="1396"/>
      <c r="ET630" s="1396"/>
      <c r="EU630" s="1396"/>
      <c r="EV630" s="1397"/>
      <c r="EW630" s="1395" t="str">
        <f t="shared" si="22"/>
        <v/>
      </c>
      <c r="EX630" s="1396"/>
      <c r="EY630" s="1396"/>
      <c r="EZ630" s="1396"/>
      <c r="FA630" s="1397"/>
    </row>
    <row r="631" spans="2:157" ht="12.95" customHeight="1">
      <c r="B631" s="52" t="s">
        <v>773</v>
      </c>
      <c r="C631" s="1623"/>
      <c r="D631" s="1623"/>
      <c r="E631" s="1623"/>
      <c r="F631" s="1623"/>
      <c r="G631" s="1623"/>
      <c r="H631" s="1623"/>
      <c r="I631" s="1623"/>
      <c r="J631" s="1623"/>
      <c r="K631" s="1623"/>
      <c r="L631" s="1623"/>
      <c r="M631" s="1618" t="s">
        <v>1291</v>
      </c>
      <c r="N631" s="1618"/>
      <c r="O631" s="1618"/>
      <c r="P631" s="1618"/>
      <c r="Q631" s="1596"/>
      <c r="R631" s="1564"/>
      <c r="S631" s="1597"/>
      <c r="T631" s="1596"/>
      <c r="U631" s="1564"/>
      <c r="V631" s="1597"/>
      <c r="W631" s="1614"/>
      <c r="X631" s="1615"/>
      <c r="Y631" s="1616"/>
      <c r="Z631" s="1538" t="s">
        <v>1291</v>
      </c>
      <c r="AA631" s="1539"/>
      <c r="AB631" s="1540"/>
      <c r="AC631" s="1484"/>
      <c r="AD631" s="1485"/>
      <c r="AE631" s="1486"/>
      <c r="AF631" s="1620"/>
      <c r="AG631" s="1621"/>
      <c r="AH631" s="1621"/>
      <c r="AI631" s="1621"/>
      <c r="AJ631" s="1622"/>
      <c r="AK631" s="1611"/>
      <c r="AL631" s="1612"/>
      <c r="AM631" s="1612"/>
      <c r="AN631" s="1613"/>
      <c r="AO631" s="1399"/>
      <c r="AP631" s="1400"/>
      <c r="AQ631" s="1400"/>
      <c r="AR631" s="1400"/>
      <c r="AS631" s="1401"/>
      <c r="AT631" s="1192" t="str">
        <f t="shared" si="23"/>
        <v/>
      </c>
      <c r="AU631" s="3"/>
      <c r="AZ631" s="3"/>
      <c r="BA631" s="3"/>
      <c r="BB631" s="3"/>
      <c r="BC631" s="3"/>
      <c r="BD631" s="3"/>
      <c r="BE631" s="1395">
        <f t="shared" si="1"/>
        <v>0</v>
      </c>
      <c r="BF631" s="1397"/>
      <c r="BG631" s="1414">
        <f t="shared" si="2"/>
        <v>0</v>
      </c>
      <c r="BH631" s="1415"/>
      <c r="BI631" s="1395">
        <f t="shared" si="3"/>
        <v>0</v>
      </c>
      <c r="BJ631" s="1397"/>
      <c r="BK631" s="1414">
        <f t="shared" si="4"/>
        <v>0</v>
      </c>
      <c r="BL631" s="1415"/>
      <c r="BM631" s="3"/>
      <c r="BN631" s="1406">
        <f t="shared" si="5"/>
        <v>0</v>
      </c>
      <c r="BO631" s="1407"/>
      <c r="BP631" s="1407"/>
      <c r="BQ631" s="1407"/>
      <c r="BR631" s="1408"/>
      <c r="BS631" s="1409">
        <f t="shared" si="6"/>
        <v>0</v>
      </c>
      <c r="BT631" s="1409"/>
      <c r="BU631" s="1409"/>
      <c r="BV631" s="1409"/>
      <c r="BW631" s="1409"/>
      <c r="BX631" s="1409">
        <f t="shared" si="7"/>
        <v>0</v>
      </c>
      <c r="BY631" s="1409"/>
      <c r="BZ631" s="1409"/>
      <c r="CA631" s="1409"/>
      <c r="CB631" s="1409"/>
      <c r="CC631" s="1409">
        <f t="shared" si="8"/>
        <v>0</v>
      </c>
      <c r="CD631" s="1409"/>
      <c r="CE631" s="1409"/>
      <c r="CF631" s="1409"/>
      <c r="CG631" s="1409"/>
      <c r="CH631" s="1409">
        <f t="shared" si="9"/>
        <v>0</v>
      </c>
      <c r="CI631" s="1409"/>
      <c r="CJ631" s="1409"/>
      <c r="CK631" s="1409"/>
      <c r="CL631" s="1409"/>
      <c r="CM631" s="1409">
        <f t="shared" si="10"/>
        <v>0</v>
      </c>
      <c r="CN631" s="1409"/>
      <c r="CO631" s="1409"/>
      <c r="CP631" s="1409"/>
      <c r="CQ631" s="1409"/>
      <c r="CR631" s="6"/>
      <c r="CS631" s="1405">
        <f t="shared" si="11"/>
        <v>0</v>
      </c>
      <c r="CT631" s="1405"/>
      <c r="CU631" s="1405"/>
      <c r="CV631" s="1405"/>
      <c r="CW631" s="1405"/>
      <c r="CX631" s="1405">
        <f t="shared" si="12"/>
        <v>0</v>
      </c>
      <c r="CY631" s="1405"/>
      <c r="CZ631" s="1405"/>
      <c r="DA631" s="1405"/>
      <c r="DB631" s="1405"/>
      <c r="DC631" s="1405">
        <f t="shared" si="13"/>
        <v>0</v>
      </c>
      <c r="DD631" s="1405"/>
      <c r="DE631" s="1405"/>
      <c r="DF631" s="1405"/>
      <c r="DG631" s="1405"/>
      <c r="DH631" s="1405">
        <f t="shared" si="14"/>
        <v>0</v>
      </c>
      <c r="DI631" s="1405"/>
      <c r="DJ631" s="1405"/>
      <c r="DK631" s="1405"/>
      <c r="DL631" s="1405"/>
      <c r="DM631" s="1405">
        <f t="shared" si="15"/>
        <v>0</v>
      </c>
      <c r="DN631" s="1405"/>
      <c r="DO631" s="1405"/>
      <c r="DP631" s="1405"/>
      <c r="DQ631" s="1405"/>
      <c r="DR631" s="1405">
        <f t="shared" si="16"/>
        <v>0</v>
      </c>
      <c r="DS631" s="1405"/>
      <c r="DT631" s="1405"/>
      <c r="DU631" s="1405"/>
      <c r="DV631" s="1405"/>
      <c r="DX631" s="1395" t="str">
        <f t="shared" si="17"/>
        <v/>
      </c>
      <c r="DY631" s="1396"/>
      <c r="DZ631" s="1396"/>
      <c r="EA631" s="1396"/>
      <c r="EB631" s="1397"/>
      <c r="EC631" s="1395" t="str">
        <f t="shared" si="18"/>
        <v/>
      </c>
      <c r="ED631" s="1396"/>
      <c r="EE631" s="1396"/>
      <c r="EF631" s="1396"/>
      <c r="EG631" s="1397"/>
      <c r="EH631" s="1395" t="str">
        <f t="shared" si="19"/>
        <v/>
      </c>
      <c r="EI631" s="1396"/>
      <c r="EJ631" s="1396"/>
      <c r="EK631" s="1396"/>
      <c r="EL631" s="1397"/>
      <c r="EM631" s="1395" t="str">
        <f t="shared" si="20"/>
        <v/>
      </c>
      <c r="EN631" s="1396"/>
      <c r="EO631" s="1396"/>
      <c r="EP631" s="1396"/>
      <c r="EQ631" s="1397"/>
      <c r="ER631" s="1395" t="str">
        <f t="shared" si="21"/>
        <v/>
      </c>
      <c r="ES631" s="1396"/>
      <c r="ET631" s="1396"/>
      <c r="EU631" s="1396"/>
      <c r="EV631" s="1397"/>
      <c r="EW631" s="1395" t="str">
        <f t="shared" si="22"/>
        <v/>
      </c>
      <c r="EX631" s="1396"/>
      <c r="EY631" s="1396"/>
      <c r="EZ631" s="1396"/>
      <c r="FA631" s="1397"/>
    </row>
    <row r="632" spans="2:157" ht="12.95" customHeight="1">
      <c r="B632" s="52" t="s">
        <v>593</v>
      </c>
      <c r="C632" s="1623"/>
      <c r="D632" s="1623"/>
      <c r="E632" s="1623"/>
      <c r="F632" s="1623"/>
      <c r="G632" s="1623"/>
      <c r="H632" s="1623"/>
      <c r="I632" s="1623"/>
      <c r="J632" s="1623"/>
      <c r="K632" s="1623"/>
      <c r="L632" s="1623"/>
      <c r="M632" s="1618" t="s">
        <v>1291</v>
      </c>
      <c r="N632" s="1618"/>
      <c r="O632" s="1618"/>
      <c r="P632" s="1618"/>
      <c r="Q632" s="1596"/>
      <c r="R632" s="1564"/>
      <c r="S632" s="1597"/>
      <c r="T632" s="1596"/>
      <c r="U632" s="1564"/>
      <c r="V632" s="1597"/>
      <c r="W632" s="1614"/>
      <c r="X632" s="1615"/>
      <c r="Y632" s="1616"/>
      <c r="Z632" s="1538" t="s">
        <v>1291</v>
      </c>
      <c r="AA632" s="1539"/>
      <c r="AB632" s="1540"/>
      <c r="AC632" s="1484"/>
      <c r="AD632" s="1485"/>
      <c r="AE632" s="1486"/>
      <c r="AF632" s="1620"/>
      <c r="AG632" s="1621"/>
      <c r="AH632" s="1621"/>
      <c r="AI632" s="1621"/>
      <c r="AJ632" s="1622"/>
      <c r="AK632" s="1611"/>
      <c r="AL632" s="1612"/>
      <c r="AM632" s="1612"/>
      <c r="AN632" s="1613"/>
      <c r="AO632" s="1399"/>
      <c r="AP632" s="1400"/>
      <c r="AQ632" s="1400"/>
      <c r="AR632" s="1400"/>
      <c r="AS632" s="1401"/>
      <c r="AT632" s="1192" t="str">
        <f t="shared" si="23"/>
        <v/>
      </c>
      <c r="AU632" s="3"/>
      <c r="AZ632" s="3"/>
      <c r="BA632" s="3"/>
      <c r="BB632" s="3"/>
      <c r="BC632" s="3"/>
      <c r="BD632" s="3"/>
      <c r="BE632" s="3"/>
      <c r="BF632" s="3"/>
      <c r="BG632" s="1395">
        <f>SUM(BG597:BH631)</f>
        <v>60</v>
      </c>
      <c r="BH632" s="1397"/>
      <c r="BI632" s="3"/>
      <c r="BJ632" s="3"/>
      <c r="BK632" s="1395">
        <f>SUM(BK597:BL631)</f>
        <v>38</v>
      </c>
      <c r="BL632" s="1397"/>
      <c r="BM632" s="3"/>
      <c r="BN632" s="1395">
        <f>SUM(BN597:BR631)</f>
        <v>24</v>
      </c>
      <c r="BO632" s="1396"/>
      <c r="BP632" s="1396"/>
      <c r="BQ632" s="1396"/>
      <c r="BR632" s="1397"/>
      <c r="BS632" s="1410">
        <f>SUM(BS597:BW631)</f>
        <v>38</v>
      </c>
      <c r="BT632" s="1410"/>
      <c r="BU632" s="1410"/>
      <c r="BV632" s="1410"/>
      <c r="BW632" s="1410"/>
      <c r="BX632" s="1410">
        <f>SUM(BX597:CB631)</f>
        <v>42</v>
      </c>
      <c r="BY632" s="1410"/>
      <c r="BZ632" s="1410"/>
      <c r="CA632" s="1410"/>
      <c r="CB632" s="1410"/>
      <c r="CC632" s="1410">
        <f>SUM(CC597:CG631)</f>
        <v>41</v>
      </c>
      <c r="CD632" s="1410"/>
      <c r="CE632" s="1410"/>
      <c r="CF632" s="1410"/>
      <c r="CG632" s="1410"/>
      <c r="CH632" s="1410">
        <f>SUM(CH597:CL631)</f>
        <v>0</v>
      </c>
      <c r="CI632" s="1410"/>
      <c r="CJ632" s="1410"/>
      <c r="CK632" s="1410"/>
      <c r="CL632" s="1410"/>
      <c r="CM632" s="1410">
        <f>SUM(CM597:CQ631)</f>
        <v>0</v>
      </c>
      <c r="CN632" s="1410"/>
      <c r="CO632" s="1410"/>
      <c r="CP632" s="1410"/>
      <c r="CQ632" s="1410"/>
      <c r="CR632" s="385"/>
      <c r="CS632" s="1410">
        <f>SUM(CS597:CW631)</f>
        <v>9</v>
      </c>
      <c r="CT632" s="1410"/>
      <c r="CU632" s="1410"/>
      <c r="CV632" s="1410"/>
      <c r="CW632" s="1410"/>
      <c r="CX632" s="1410">
        <f>SUM(CX597:DB631)</f>
        <v>14</v>
      </c>
      <c r="CY632" s="1410"/>
      <c r="CZ632" s="1410"/>
      <c r="DA632" s="1410"/>
      <c r="DB632" s="1410"/>
      <c r="DC632" s="1410">
        <f>SUM(DC597:DG631)</f>
        <v>10</v>
      </c>
      <c r="DD632" s="1410"/>
      <c r="DE632" s="1410"/>
      <c r="DF632" s="1410"/>
      <c r="DG632" s="1410"/>
      <c r="DH632" s="1410">
        <f>SUM(DH597:DL631)</f>
        <v>5</v>
      </c>
      <c r="DI632" s="1410"/>
      <c r="DJ632" s="1410"/>
      <c r="DK632" s="1410"/>
      <c r="DL632" s="1410"/>
      <c r="DM632" s="1410">
        <f>SUM(DM597:DQ631)</f>
        <v>0</v>
      </c>
      <c r="DN632" s="1410"/>
      <c r="DO632" s="1410"/>
      <c r="DP632" s="1410"/>
      <c r="DQ632" s="1410"/>
      <c r="DR632" s="1410">
        <f>SUM(DR597:DV631)</f>
        <v>0</v>
      </c>
      <c r="DS632" s="1410"/>
      <c r="DT632" s="1410"/>
      <c r="DU632" s="1410"/>
      <c r="DV632" s="1410"/>
      <c r="DX632" s="1410">
        <f>SUM(DX597:EB631)</f>
        <v>2880</v>
      </c>
      <c r="DY632" s="1410"/>
      <c r="DZ632" s="1410"/>
      <c r="EA632" s="1410"/>
      <c r="EB632" s="1410"/>
      <c r="EC632" s="1410">
        <f>SUM(EC597:EG631)</f>
        <v>6311</v>
      </c>
      <c r="ED632" s="1410"/>
      <c r="EE632" s="1410"/>
      <c r="EF632" s="1410"/>
      <c r="EG632" s="1410"/>
      <c r="EH632" s="1410">
        <f>SUM(EH597:EL631)</f>
        <v>8740</v>
      </c>
      <c r="EI632" s="1410"/>
      <c r="EJ632" s="1410"/>
      <c r="EK632" s="1410"/>
      <c r="EL632" s="1410"/>
      <c r="EM632" s="1410">
        <f>SUM(EM597:EQ631)</f>
        <v>10964</v>
      </c>
      <c r="EN632" s="1410"/>
      <c r="EO632" s="1410"/>
      <c r="EP632" s="1410"/>
      <c r="EQ632" s="1410"/>
      <c r="ER632" s="1410">
        <f>SUM(ER597:EV631)</f>
        <v>0</v>
      </c>
      <c r="ES632" s="1410"/>
      <c r="ET632" s="1410"/>
      <c r="EU632" s="1410"/>
      <c r="EV632" s="1410"/>
      <c r="EW632" s="1410">
        <f>SUM(EW597:FA631)</f>
        <v>0</v>
      </c>
      <c r="EX632" s="1410"/>
      <c r="EY632" s="1410"/>
      <c r="EZ632" s="1410"/>
      <c r="FA632" s="1410"/>
    </row>
    <row r="633" spans="2:157" ht="12.95" customHeight="1">
      <c r="B633" s="52" t="s">
        <v>464</v>
      </c>
      <c r="C633" s="1623"/>
      <c r="D633" s="1623"/>
      <c r="E633" s="1623"/>
      <c r="F633" s="1623"/>
      <c r="G633" s="1623"/>
      <c r="H633" s="1623"/>
      <c r="I633" s="1623"/>
      <c r="J633" s="1623"/>
      <c r="K633" s="1623"/>
      <c r="L633" s="1623"/>
      <c r="M633" s="1618" t="s">
        <v>1291</v>
      </c>
      <c r="N633" s="1618"/>
      <c r="O633" s="1618"/>
      <c r="P633" s="1618"/>
      <c r="Q633" s="1596"/>
      <c r="R633" s="1564"/>
      <c r="S633" s="1597"/>
      <c r="T633" s="1596"/>
      <c r="U633" s="1564"/>
      <c r="V633" s="1597"/>
      <c r="W633" s="1614"/>
      <c r="X633" s="1615"/>
      <c r="Y633" s="1616"/>
      <c r="Z633" s="1538" t="s">
        <v>1291</v>
      </c>
      <c r="AA633" s="1539"/>
      <c r="AB633" s="1540"/>
      <c r="AC633" s="1484"/>
      <c r="AD633" s="1485"/>
      <c r="AE633" s="1486"/>
      <c r="AF633" s="1620"/>
      <c r="AG633" s="1621"/>
      <c r="AH633" s="1621"/>
      <c r="AI633" s="1621"/>
      <c r="AJ633" s="1622"/>
      <c r="AK633" s="1611"/>
      <c r="AL633" s="1612"/>
      <c r="AM633" s="1612"/>
      <c r="AN633" s="1613"/>
      <c r="AO633" s="1399"/>
      <c r="AP633" s="1400"/>
      <c r="AQ633" s="1400"/>
      <c r="AR633" s="1400"/>
      <c r="AS633" s="1401"/>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2052</v>
      </c>
      <c r="CM633" s="1395">
        <f>BN632+BS632+BX632+CC632+CH632+CM632</f>
        <v>145</v>
      </c>
      <c r="CN633" s="1396"/>
      <c r="CO633" s="1396"/>
      <c r="CP633" s="1396"/>
      <c r="CQ633" s="1397"/>
      <c r="CR633" s="385"/>
      <c r="CS633" s="3"/>
      <c r="CT633" s="3"/>
      <c r="CU633" s="3"/>
      <c r="CV633" s="3"/>
      <c r="CW633" s="3"/>
      <c r="CX633" s="3"/>
      <c r="CY633" s="3"/>
      <c r="CZ633" s="3"/>
      <c r="DA633" s="3"/>
      <c r="DB633" s="3"/>
      <c r="DC633" s="3"/>
      <c r="DD633" s="3"/>
      <c r="DE633" s="3"/>
      <c r="DF633" s="3"/>
    </row>
    <row r="634" spans="2:157" ht="12.95" customHeight="1">
      <c r="B634" s="52" t="s">
        <v>465</v>
      </c>
      <c r="C634" s="1623"/>
      <c r="D634" s="1623"/>
      <c r="E634" s="1623"/>
      <c r="F634" s="1623"/>
      <c r="G634" s="1623"/>
      <c r="H634" s="1623"/>
      <c r="I634" s="1623"/>
      <c r="J634" s="1623"/>
      <c r="K634" s="1623"/>
      <c r="L634" s="1623"/>
      <c r="M634" s="1618" t="s">
        <v>1291</v>
      </c>
      <c r="N634" s="1618"/>
      <c r="O634" s="1618"/>
      <c r="P634" s="1618"/>
      <c r="Q634" s="1596"/>
      <c r="R634" s="1564"/>
      <c r="S634" s="1597"/>
      <c r="T634" s="1596"/>
      <c r="U634" s="1564"/>
      <c r="V634" s="1597"/>
      <c r="W634" s="1614"/>
      <c r="X634" s="1615"/>
      <c r="Y634" s="1616"/>
      <c r="Z634" s="1538" t="s">
        <v>1291</v>
      </c>
      <c r="AA634" s="1539"/>
      <c r="AB634" s="1540"/>
      <c r="AC634" s="1484"/>
      <c r="AD634" s="1485"/>
      <c r="AE634" s="1486"/>
      <c r="AF634" s="1620"/>
      <c r="AG634" s="1621"/>
      <c r="AH634" s="1621"/>
      <c r="AI634" s="1621"/>
      <c r="AJ634" s="1622"/>
      <c r="AK634" s="1611"/>
      <c r="AL634" s="1612"/>
      <c r="AM634" s="1612"/>
      <c r="AN634" s="1613"/>
      <c r="AO634" s="1399"/>
      <c r="AP634" s="1400"/>
      <c r="AQ634" s="1400"/>
      <c r="AR634" s="1400"/>
      <c r="AS634" s="1401"/>
      <c r="AT634" s="1192" t="str">
        <f t="shared" si="23"/>
        <v/>
      </c>
      <c r="AU634" s="3"/>
      <c r="AV634" s="3"/>
      <c r="AW634" s="3"/>
      <c r="AX634" s="3"/>
      <c r="AY634" s="3"/>
      <c r="AZ634" s="3"/>
      <c r="BA634" s="3" t="s">
        <v>1291</v>
      </c>
      <c r="BB634" s="3"/>
      <c r="BC634" s="3"/>
      <c r="BD634" s="3"/>
      <c r="BE634" s="3"/>
      <c r="BF634" s="3"/>
      <c r="BG634" s="3"/>
      <c r="BH634" s="3"/>
      <c r="BI634" s="3"/>
      <c r="BJ634" s="3"/>
      <c r="BK634" s="3"/>
      <c r="BL634" s="3"/>
      <c r="BM634" s="3"/>
      <c r="BR634" s="895">
        <f>BN632*1</f>
        <v>24</v>
      </c>
      <c r="BS634" s="3"/>
      <c r="BT634" s="3"/>
      <c r="BU634" s="3"/>
      <c r="BV634" s="3"/>
      <c r="BW634" s="895">
        <f>BS632*1</f>
        <v>38</v>
      </c>
      <c r="BX634" s="3"/>
      <c r="BY634" s="3"/>
      <c r="BZ634" s="3"/>
      <c r="CA634" s="3"/>
      <c r="CB634" s="895">
        <f>BX632*2</f>
        <v>84</v>
      </c>
      <c r="CC634" s="3"/>
      <c r="CD634" s="3"/>
      <c r="CE634" s="3"/>
      <c r="CF634" s="3"/>
      <c r="CG634" s="895">
        <f>CC632*3</f>
        <v>123</v>
      </c>
      <c r="CH634" s="3"/>
      <c r="CI634" s="3"/>
      <c r="CJ634" s="3"/>
      <c r="CK634" s="3"/>
      <c r="CL634" s="895">
        <f>CH632*4</f>
        <v>0</v>
      </c>
      <c r="CM634" s="3"/>
      <c r="CN634" s="3"/>
      <c r="CO634" s="3"/>
      <c r="CP634" s="3"/>
      <c r="CQ634" s="895">
        <f>CM632*5</f>
        <v>0</v>
      </c>
      <c r="CS634" s="895">
        <f>BR634+BW634+CB634+CG634+CL634+CQ634</f>
        <v>269</v>
      </c>
      <c r="CT634" s="57" t="s">
        <v>2054</v>
      </c>
      <c r="CU634" s="3"/>
      <c r="CV634" s="3"/>
      <c r="CW634" s="3"/>
      <c r="CX634" s="3"/>
      <c r="CY634" s="3"/>
      <c r="CZ634" s="3"/>
      <c r="DA634" s="3"/>
      <c r="DB634" s="3"/>
      <c r="DC634" s="3"/>
      <c r="DD634" s="3"/>
      <c r="DE634" s="3"/>
      <c r="DF634" s="3"/>
    </row>
    <row r="635" spans="2:157" ht="12.95" customHeight="1">
      <c r="B635" s="52" t="s">
        <v>470</v>
      </c>
      <c r="C635" s="1623"/>
      <c r="D635" s="1623"/>
      <c r="E635" s="1623"/>
      <c r="F635" s="1623"/>
      <c r="G635" s="1623"/>
      <c r="H635" s="1623"/>
      <c r="I635" s="1623"/>
      <c r="J635" s="1623"/>
      <c r="K635" s="1623"/>
      <c r="L635" s="1623"/>
      <c r="M635" s="1618" t="s">
        <v>1291</v>
      </c>
      <c r="N635" s="1618"/>
      <c r="O635" s="1618"/>
      <c r="P635" s="1618"/>
      <c r="Q635" s="1596"/>
      <c r="R635" s="1564"/>
      <c r="S635" s="1597"/>
      <c r="T635" s="1596"/>
      <c r="U635" s="1564"/>
      <c r="V635" s="1597"/>
      <c r="W635" s="1614"/>
      <c r="X635" s="1615"/>
      <c r="Y635" s="1616"/>
      <c r="Z635" s="1538" t="s">
        <v>1291</v>
      </c>
      <c r="AA635" s="1539"/>
      <c r="AB635" s="1540"/>
      <c r="AC635" s="1484"/>
      <c r="AD635" s="1485"/>
      <c r="AE635" s="1486"/>
      <c r="AF635" s="1620"/>
      <c r="AG635" s="1621"/>
      <c r="AH635" s="1621"/>
      <c r="AI635" s="1621"/>
      <c r="AJ635" s="1622"/>
      <c r="AK635" s="1611"/>
      <c r="AL635" s="1612"/>
      <c r="AM635" s="1612"/>
      <c r="AN635" s="1613"/>
      <c r="AO635" s="1399"/>
      <c r="AP635" s="1400"/>
      <c r="AQ635" s="1400"/>
      <c r="AR635" s="1400"/>
      <c r="AS635" s="1401"/>
      <c r="AT635" s="1192"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94">
        <f>DX597*(BN597/$BN$632)</f>
        <v>228.37500000000003</v>
      </c>
      <c r="DY635" s="1394"/>
      <c r="DZ635" s="1394"/>
      <c r="EA635" s="1394"/>
      <c r="EB635" s="1394"/>
      <c r="EC635" s="1394" t="e">
        <f t="shared" ref="EC635:EC657" si="24">EC597*(BS597/$BS$632)</f>
        <v>#VALUE!</v>
      </c>
      <c r="ED635" s="1394"/>
      <c r="EE635" s="1394"/>
      <c r="EF635" s="1394"/>
      <c r="EG635" s="1394"/>
      <c r="EH635" s="1394" t="e">
        <f t="shared" ref="EH635:EH657" si="25">EH597*(BX597/$BX$632)</f>
        <v>#VALUE!</v>
      </c>
      <c r="EI635" s="1394"/>
      <c r="EJ635" s="1394"/>
      <c r="EK635" s="1394"/>
      <c r="EL635" s="1394"/>
      <c r="EM635" s="1394" t="e">
        <f t="shared" ref="EM635:EM657" si="26">EM597*(CC597/$CC$632)</f>
        <v>#VALUE!</v>
      </c>
      <c r="EN635" s="1394"/>
      <c r="EO635" s="1394"/>
      <c r="EP635" s="1394"/>
      <c r="EQ635" s="1394"/>
      <c r="ER635" s="1394" t="e">
        <f t="shared" ref="ER635:ER657" si="27">ER597*(CH597/$CH$632)</f>
        <v>#VALUE!</v>
      </c>
      <c r="ES635" s="1394"/>
      <c r="ET635" s="1394"/>
      <c r="EU635" s="1394"/>
      <c r="EV635" s="1394"/>
      <c r="EW635" s="1394" t="e">
        <f t="shared" ref="EW635:EW657" si="28">EW597*(CM597/$CM$632)</f>
        <v>#VALUE!</v>
      </c>
      <c r="EX635" s="1394"/>
      <c r="EY635" s="1394"/>
      <c r="EZ635" s="1394"/>
      <c r="FA635" s="1394"/>
    </row>
    <row r="636" spans="2:157" ht="12.95" customHeight="1">
      <c r="B636" s="52" t="s">
        <v>655</v>
      </c>
      <c r="C636" s="1623"/>
      <c r="D636" s="1623"/>
      <c r="E636" s="1623"/>
      <c r="F636" s="1623"/>
      <c r="G636" s="1623"/>
      <c r="H636" s="1623"/>
      <c r="I636" s="1623"/>
      <c r="J636" s="1623"/>
      <c r="K636" s="1623"/>
      <c r="L636" s="1623"/>
      <c r="M636" s="1618" t="s">
        <v>1291</v>
      </c>
      <c r="N636" s="1618"/>
      <c r="O636" s="1618"/>
      <c r="P636" s="1618"/>
      <c r="Q636" s="1596"/>
      <c r="R636" s="1564"/>
      <c r="S636" s="1597"/>
      <c r="T636" s="1596"/>
      <c r="U636" s="1564"/>
      <c r="V636" s="1597"/>
      <c r="W636" s="1614"/>
      <c r="X636" s="1615"/>
      <c r="Y636" s="1616"/>
      <c r="Z636" s="1538" t="s">
        <v>1291</v>
      </c>
      <c r="AA636" s="1539"/>
      <c r="AB636" s="1540"/>
      <c r="AC636" s="1484"/>
      <c r="AD636" s="1485"/>
      <c r="AE636" s="1486"/>
      <c r="AF636" s="1620"/>
      <c r="AG636" s="1621"/>
      <c r="AH636" s="1621"/>
      <c r="AI636" s="1621"/>
      <c r="AJ636" s="1622"/>
      <c r="AK636" s="1611"/>
      <c r="AL636" s="1612"/>
      <c r="AM636" s="1612"/>
      <c r="AN636" s="1613"/>
      <c r="AO636" s="1399"/>
      <c r="AP636" s="1400"/>
      <c r="AQ636" s="1400"/>
      <c r="AR636" s="1400"/>
      <c r="AS636" s="1401"/>
      <c r="AT636" s="1192"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94">
        <f t="shared" ref="DX636:DX657" si="29">DX598*(BN598/$BN$632)</f>
        <v>65.25</v>
      </c>
      <c r="DY636" s="1394"/>
      <c r="DZ636" s="1394"/>
      <c r="EA636" s="1394"/>
      <c r="EB636" s="1394"/>
      <c r="EC636" s="1394" t="e">
        <f t="shared" si="24"/>
        <v>#VALUE!</v>
      </c>
      <c r="ED636" s="1394"/>
      <c r="EE636" s="1394"/>
      <c r="EF636" s="1394"/>
      <c r="EG636" s="1394"/>
      <c r="EH636" s="1394" t="e">
        <f t="shared" si="25"/>
        <v>#VALUE!</v>
      </c>
      <c r="EI636" s="1394"/>
      <c r="EJ636" s="1394"/>
      <c r="EK636" s="1394"/>
      <c r="EL636" s="1394"/>
      <c r="EM636" s="1394" t="e">
        <f t="shared" si="26"/>
        <v>#VALUE!</v>
      </c>
      <c r="EN636" s="1394"/>
      <c r="EO636" s="1394"/>
      <c r="EP636" s="1394"/>
      <c r="EQ636" s="1394"/>
      <c r="ER636" s="1394" t="e">
        <f t="shared" si="27"/>
        <v>#VALUE!</v>
      </c>
      <c r="ES636" s="1394"/>
      <c r="ET636" s="1394"/>
      <c r="EU636" s="1394"/>
      <c r="EV636" s="1394"/>
      <c r="EW636" s="1394" t="e">
        <f t="shared" si="28"/>
        <v>#VALUE!</v>
      </c>
      <c r="EX636" s="1394"/>
      <c r="EY636" s="1394"/>
      <c r="EZ636" s="1394"/>
      <c r="FA636" s="1394"/>
    </row>
    <row r="637" spans="2:157" ht="12.95" customHeight="1">
      <c r="B637" s="52" t="s">
        <v>363</v>
      </c>
      <c r="C637" s="1623"/>
      <c r="D637" s="1623"/>
      <c r="E637" s="1623"/>
      <c r="F637" s="1623"/>
      <c r="G637" s="1623"/>
      <c r="H637" s="1623"/>
      <c r="I637" s="1623"/>
      <c r="J637" s="1623"/>
      <c r="K637" s="1623"/>
      <c r="L637" s="1623"/>
      <c r="M637" s="1618" t="s">
        <v>1291</v>
      </c>
      <c r="N637" s="1618"/>
      <c r="O637" s="1618"/>
      <c r="P637" s="1618"/>
      <c r="Q637" s="1596"/>
      <c r="R637" s="1564"/>
      <c r="S637" s="1597"/>
      <c r="T637" s="1596"/>
      <c r="U637" s="1564"/>
      <c r="V637" s="1597"/>
      <c r="W637" s="1614"/>
      <c r="X637" s="1615"/>
      <c r="Y637" s="1616"/>
      <c r="Z637" s="1538" t="s">
        <v>1291</v>
      </c>
      <c r="AA637" s="1539"/>
      <c r="AB637" s="1540"/>
      <c r="AC637" s="1484"/>
      <c r="AD637" s="1485"/>
      <c r="AE637" s="1486"/>
      <c r="AF637" s="1620"/>
      <c r="AG637" s="1621"/>
      <c r="AH637" s="1621"/>
      <c r="AI637" s="1621"/>
      <c r="AJ637" s="1622"/>
      <c r="AK637" s="1611"/>
      <c r="AL637" s="1612"/>
      <c r="AM637" s="1612"/>
      <c r="AN637" s="1613"/>
      <c r="AO637" s="1399"/>
      <c r="AP637" s="1400"/>
      <c r="AQ637" s="1400"/>
      <c r="AR637" s="1400"/>
      <c r="AS637" s="1401"/>
      <c r="AT637" s="1192" t="str">
        <f t="shared" si="23"/>
        <v/>
      </c>
      <c r="AV637" s="3"/>
      <c r="AW637" s="3"/>
      <c r="AX637" s="3"/>
      <c r="AY637" s="3"/>
      <c r="AZ637" s="34"/>
      <c r="BA637" s="3" t="s">
        <v>2451</v>
      </c>
      <c r="BB637" s="34"/>
      <c r="BC637" s="34"/>
      <c r="BD637" s="34"/>
      <c r="BE637" s="34"/>
      <c r="BF637" s="34"/>
      <c r="BG637" s="34"/>
      <c r="BH637" s="34"/>
      <c r="BI637" s="34"/>
      <c r="BJ637" s="34"/>
      <c r="BK637" s="34"/>
      <c r="BL637" s="34"/>
      <c r="BM637" s="34"/>
      <c r="BN637" s="1406">
        <f>IF(J773="SRO/Studio",O773,0)</f>
        <v>0</v>
      </c>
      <c r="BO637" s="1407"/>
      <c r="BP637" s="1407"/>
      <c r="BQ637" s="1407"/>
      <c r="BR637" s="1408"/>
      <c r="BS637" s="1409">
        <f>IF(J773="1 Bedroom",O773,0)</f>
        <v>0</v>
      </c>
      <c r="BT637" s="1409"/>
      <c r="BU637" s="1409"/>
      <c r="BV637" s="1409"/>
      <c r="BW637" s="1409"/>
      <c r="BX637" s="1409">
        <f>IF(J773="2 Bedrooms",O773,0)</f>
        <v>1</v>
      </c>
      <c r="BY637" s="1409"/>
      <c r="BZ637" s="1409"/>
      <c r="CA637" s="1409"/>
      <c r="CB637" s="1409"/>
      <c r="CC637" s="1409">
        <f>IF(J773="3 Bedrooms",O773,0)</f>
        <v>0</v>
      </c>
      <c r="CD637" s="1409"/>
      <c r="CE637" s="1409"/>
      <c r="CF637" s="1409"/>
      <c r="CG637" s="1409"/>
      <c r="CH637" s="1409">
        <f>IF(J773="4 Bedrooms",O773,0)</f>
        <v>0</v>
      </c>
      <c r="CI637" s="1409"/>
      <c r="CJ637" s="1409"/>
      <c r="CK637" s="1409"/>
      <c r="CL637" s="1409"/>
      <c r="CM637" s="1409">
        <f>IF(J773="5 Bedrooms",O773,0)</f>
        <v>0</v>
      </c>
      <c r="CN637" s="1409"/>
      <c r="CO637" s="1409"/>
      <c r="CP637" s="1409"/>
      <c r="CQ637" s="1409"/>
      <c r="CR637" s="6"/>
      <c r="CS637" s="3"/>
      <c r="CT637" s="3"/>
      <c r="CU637" s="3"/>
      <c r="CV637" s="3"/>
      <c r="CW637" s="3"/>
      <c r="CX637" s="3"/>
      <c r="CY637" s="3"/>
      <c r="CZ637" s="3"/>
      <c r="DA637" s="3"/>
      <c r="DB637" s="3"/>
      <c r="DC637" s="3"/>
      <c r="DD637" s="3"/>
      <c r="DE637" s="3"/>
      <c r="DF637" s="3"/>
      <c r="DX637" s="1394">
        <f t="shared" si="29"/>
        <v>821.25</v>
      </c>
      <c r="DY637" s="1394"/>
      <c r="DZ637" s="1394"/>
      <c r="EA637" s="1394"/>
      <c r="EB637" s="1394"/>
      <c r="EC637" s="1394" t="e">
        <f t="shared" si="24"/>
        <v>#VALUE!</v>
      </c>
      <c r="ED637" s="1394"/>
      <c r="EE637" s="1394"/>
      <c r="EF637" s="1394"/>
      <c r="EG637" s="1394"/>
      <c r="EH637" s="1394" t="e">
        <f t="shared" si="25"/>
        <v>#VALUE!</v>
      </c>
      <c r="EI637" s="1394"/>
      <c r="EJ637" s="1394"/>
      <c r="EK637" s="1394"/>
      <c r="EL637" s="1394"/>
      <c r="EM637" s="1394" t="e">
        <f t="shared" si="26"/>
        <v>#VALUE!</v>
      </c>
      <c r="EN637" s="1394"/>
      <c r="EO637" s="1394"/>
      <c r="EP637" s="1394"/>
      <c r="EQ637" s="1394"/>
      <c r="ER637" s="1394" t="e">
        <f t="shared" si="27"/>
        <v>#VALUE!</v>
      </c>
      <c r="ES637" s="1394"/>
      <c r="ET637" s="1394"/>
      <c r="EU637" s="1394"/>
      <c r="EV637" s="1394"/>
      <c r="EW637" s="1394" t="e">
        <f t="shared" si="28"/>
        <v>#VALUE!</v>
      </c>
      <c r="EX637" s="1394"/>
      <c r="EY637" s="1394"/>
      <c r="EZ637" s="1394"/>
      <c r="FA637" s="1394"/>
    </row>
    <row r="638" spans="2:157" ht="12.95" customHeight="1">
      <c r="B638" s="52" t="s">
        <v>364</v>
      </c>
      <c r="C638" s="1623"/>
      <c r="D638" s="1623"/>
      <c r="E638" s="1623"/>
      <c r="F638" s="1623"/>
      <c r="G638" s="1623"/>
      <c r="H638" s="1623"/>
      <c r="I638" s="1623"/>
      <c r="J638" s="1623"/>
      <c r="K638" s="1623"/>
      <c r="L638" s="1623"/>
      <c r="M638" s="1618" t="s">
        <v>1291</v>
      </c>
      <c r="N638" s="1618"/>
      <c r="O638" s="1618"/>
      <c r="P638" s="1618"/>
      <c r="Q638" s="1596"/>
      <c r="R638" s="1564"/>
      <c r="S638" s="1597"/>
      <c r="T638" s="1596"/>
      <c r="U638" s="1564"/>
      <c r="V638" s="1597"/>
      <c r="W638" s="1614"/>
      <c r="X638" s="1615"/>
      <c r="Y638" s="1616"/>
      <c r="Z638" s="1538" t="s">
        <v>1291</v>
      </c>
      <c r="AA638" s="1539"/>
      <c r="AB638" s="1540"/>
      <c r="AC638" s="1484"/>
      <c r="AD638" s="1485"/>
      <c r="AE638" s="1486"/>
      <c r="AF638" s="1620"/>
      <c r="AG638" s="1621"/>
      <c r="AH638" s="1621"/>
      <c r="AI638" s="1621"/>
      <c r="AJ638" s="1622"/>
      <c r="AK638" s="1611"/>
      <c r="AL638" s="1612"/>
      <c r="AM638" s="1612"/>
      <c r="AN638" s="1613"/>
      <c r="AO638" s="1399"/>
      <c r="AP638" s="1400"/>
      <c r="AQ638" s="1400"/>
      <c r="AR638" s="1400"/>
      <c r="AS638" s="1401"/>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406">
        <f>IF(J774="SRO/Studio",O774,0)</f>
        <v>0</v>
      </c>
      <c r="BO638" s="1407"/>
      <c r="BP638" s="1407"/>
      <c r="BQ638" s="1407"/>
      <c r="BR638" s="1408"/>
      <c r="BS638" s="1409">
        <f>IF(J774="1 Bedroom",O774,0)</f>
        <v>0</v>
      </c>
      <c r="BT638" s="1409"/>
      <c r="BU638" s="1409"/>
      <c r="BV638" s="1409"/>
      <c r="BW638" s="1409"/>
      <c r="BX638" s="1409">
        <f>IF(J774="2 Bedrooms",O774,0)</f>
        <v>0</v>
      </c>
      <c r="BY638" s="1409"/>
      <c r="BZ638" s="1409"/>
      <c r="CA638" s="1409"/>
      <c r="CB638" s="1409"/>
      <c r="CC638" s="1409">
        <f>IF(J774="3 Bedrooms",O774,0)</f>
        <v>1</v>
      </c>
      <c r="CD638" s="1409"/>
      <c r="CE638" s="1409"/>
      <c r="CF638" s="1409"/>
      <c r="CG638" s="1409"/>
      <c r="CH638" s="1409">
        <f>IF(J774="4 Bedrooms",O774,0)</f>
        <v>0</v>
      </c>
      <c r="CI638" s="1409"/>
      <c r="CJ638" s="1409"/>
      <c r="CK638" s="1409"/>
      <c r="CL638" s="1409"/>
      <c r="CM638" s="1409">
        <f>IF(J774="5 Bedrooms",O774,0)</f>
        <v>0</v>
      </c>
      <c r="CN638" s="1409"/>
      <c r="CO638" s="1409"/>
      <c r="CP638" s="1409"/>
      <c r="CQ638" s="1409"/>
      <c r="CR638" s="6"/>
      <c r="CS638" s="3"/>
      <c r="CT638" s="3"/>
      <c r="CU638" s="3"/>
      <c r="CV638" s="3"/>
      <c r="CW638" s="3"/>
      <c r="CX638" s="3"/>
      <c r="CY638" s="3"/>
      <c r="CZ638" s="3"/>
      <c r="DA638" s="3"/>
      <c r="DB638" s="3"/>
      <c r="DC638" s="3"/>
      <c r="DD638" s="3"/>
      <c r="DE638" s="3"/>
      <c r="DF638" s="3"/>
      <c r="DX638" s="1394" t="e">
        <f t="shared" si="29"/>
        <v>#VALUE!</v>
      </c>
      <c r="DY638" s="1394"/>
      <c r="DZ638" s="1394"/>
      <c r="EA638" s="1394"/>
      <c r="EB638" s="1394"/>
      <c r="EC638" s="1394">
        <f t="shared" si="24"/>
        <v>265.26315789473682</v>
      </c>
      <c r="ED638" s="1394"/>
      <c r="EE638" s="1394"/>
      <c r="EF638" s="1394"/>
      <c r="EG638" s="1394"/>
      <c r="EH638" s="1394" t="e">
        <f t="shared" si="25"/>
        <v>#VALUE!</v>
      </c>
      <c r="EI638" s="1394"/>
      <c r="EJ638" s="1394"/>
      <c r="EK638" s="1394"/>
      <c r="EL638" s="1394"/>
      <c r="EM638" s="1394" t="e">
        <f t="shared" si="26"/>
        <v>#VALUE!</v>
      </c>
      <c r="EN638" s="1394"/>
      <c r="EO638" s="1394"/>
      <c r="EP638" s="1394"/>
      <c r="EQ638" s="1394"/>
      <c r="ER638" s="1394" t="e">
        <f t="shared" si="27"/>
        <v>#VALUE!</v>
      </c>
      <c r="ES638" s="1394"/>
      <c r="ET638" s="1394"/>
      <c r="EU638" s="1394"/>
      <c r="EV638" s="1394"/>
      <c r="EW638" s="1394" t="e">
        <f t="shared" si="28"/>
        <v>#VALUE!</v>
      </c>
      <c r="EX638" s="1394"/>
      <c r="EY638" s="1394"/>
      <c r="EZ638" s="1394"/>
      <c r="FA638" s="1394"/>
    </row>
    <row r="639" spans="2:157" ht="12.95" customHeight="1">
      <c r="B639" s="1625" t="s">
        <v>128</v>
      </c>
      <c r="C639" s="1626"/>
      <c r="D639" s="1626"/>
      <c r="E639" s="1626"/>
      <c r="F639" s="1626"/>
      <c r="G639" s="1626"/>
      <c r="H639" s="1626"/>
      <c r="I639" s="1626"/>
      <c r="J639" s="1626"/>
      <c r="K639" s="1626"/>
      <c r="L639" s="1626"/>
      <c r="M639" s="1626"/>
      <c r="N639" s="1626"/>
      <c r="O639" s="1626"/>
      <c r="P639" s="1626"/>
      <c r="Q639" s="1626"/>
      <c r="R639" s="1626"/>
      <c r="S639" s="1626"/>
      <c r="T639" s="1626"/>
      <c r="U639" s="1626"/>
      <c r="V639" s="1626"/>
      <c r="W639" s="1626"/>
      <c r="X639" s="1626"/>
      <c r="Y639" s="1626"/>
      <c r="Z639" s="1626"/>
      <c r="AA639" s="1626"/>
      <c r="AB639" s="1626"/>
      <c r="AC639" s="1626"/>
      <c r="AD639" s="1626"/>
      <c r="AE639" s="1626"/>
      <c r="AF639" s="1626"/>
      <c r="AG639" s="1626"/>
      <c r="AH639" s="1626"/>
      <c r="AI639" s="1626"/>
      <c r="AJ639" s="1626"/>
      <c r="AK639" s="1626"/>
      <c r="AL639" s="1626"/>
      <c r="AM639" s="1626"/>
      <c r="AN639" s="1627"/>
      <c r="AO639" s="1630">
        <f>SUM(AO627:AR638)</f>
        <v>45039805</v>
      </c>
      <c r="AP639" s="1631"/>
      <c r="AQ639" s="1631"/>
      <c r="AR639" s="1631"/>
      <c r="AS639" s="1632"/>
      <c r="AV639" s="3"/>
      <c r="AW639" s="3"/>
      <c r="AX639" s="3"/>
      <c r="AY639" s="3"/>
      <c r="AZ639" s="34"/>
      <c r="BA639" s="34"/>
      <c r="BB639" s="34"/>
      <c r="BC639" s="34"/>
      <c r="BD639" s="34"/>
      <c r="BE639" s="34"/>
      <c r="BF639" s="34"/>
      <c r="BG639" s="34"/>
      <c r="BH639" s="34"/>
      <c r="BI639" s="34"/>
      <c r="BJ639" s="34"/>
      <c r="BK639" s="34"/>
      <c r="BL639" s="34"/>
      <c r="BM639" s="34"/>
      <c r="BN639" s="1406">
        <f>IF(J775="SRO/Studio",O775,0)</f>
        <v>0</v>
      </c>
      <c r="BO639" s="1407"/>
      <c r="BP639" s="1407"/>
      <c r="BQ639" s="1407"/>
      <c r="BR639" s="1408"/>
      <c r="BS639" s="1409">
        <f>IF(J775="1 Bedroom",O775,0)</f>
        <v>0</v>
      </c>
      <c r="BT639" s="1409"/>
      <c r="BU639" s="1409"/>
      <c r="BV639" s="1409"/>
      <c r="BW639" s="1409"/>
      <c r="BX639" s="1409">
        <f>IF(J775="2 Bedrooms",O775,0)</f>
        <v>0</v>
      </c>
      <c r="BY639" s="1409"/>
      <c r="BZ639" s="1409"/>
      <c r="CA639" s="1409"/>
      <c r="CB639" s="1409"/>
      <c r="CC639" s="1409">
        <f>IF(J775="3 Bedrooms",O775,0)</f>
        <v>0</v>
      </c>
      <c r="CD639" s="1409"/>
      <c r="CE639" s="1409"/>
      <c r="CF639" s="1409"/>
      <c r="CG639" s="1409"/>
      <c r="CH639" s="1409">
        <f>IF(J775="4 Bedrooms",O775,0)</f>
        <v>0</v>
      </c>
      <c r="CI639" s="1409"/>
      <c r="CJ639" s="1409"/>
      <c r="CK639" s="1409"/>
      <c r="CL639" s="1409"/>
      <c r="CM639" s="1409">
        <f>IF(J775="5 Bedrooms",O775,0)</f>
        <v>0</v>
      </c>
      <c r="CN639" s="1409"/>
      <c r="CO639" s="1409"/>
      <c r="CP639" s="1409"/>
      <c r="CQ639" s="1409"/>
      <c r="CR639" s="1047"/>
      <c r="CV639" s="3"/>
      <c r="CW639" s="3"/>
      <c r="CX639" s="3"/>
      <c r="CY639" s="3"/>
      <c r="CZ639" s="3"/>
      <c r="DA639" s="3"/>
      <c r="DB639" s="3"/>
      <c r="DC639" s="3"/>
      <c r="DD639" s="3"/>
      <c r="DE639" s="3"/>
      <c r="DF639" s="3"/>
      <c r="DX639" s="1394" t="e">
        <f t="shared" si="29"/>
        <v>#VALUE!</v>
      </c>
      <c r="DY639" s="1394"/>
      <c r="DZ639" s="1394"/>
      <c r="EA639" s="1394"/>
      <c r="EB639" s="1394"/>
      <c r="EC639" s="1394">
        <f t="shared" si="24"/>
        <v>44.210526315789473</v>
      </c>
      <c r="ED639" s="1394"/>
      <c r="EE639" s="1394"/>
      <c r="EF639" s="1394"/>
      <c r="EG639" s="1394"/>
      <c r="EH639" s="1394" t="e">
        <f t="shared" si="25"/>
        <v>#VALUE!</v>
      </c>
      <c r="EI639" s="1394"/>
      <c r="EJ639" s="1394"/>
      <c r="EK639" s="1394"/>
      <c r="EL639" s="1394"/>
      <c r="EM639" s="1394" t="e">
        <f t="shared" si="26"/>
        <v>#VALUE!</v>
      </c>
      <c r="EN639" s="1394"/>
      <c r="EO639" s="1394"/>
      <c r="EP639" s="1394"/>
      <c r="EQ639" s="1394"/>
      <c r="ER639" s="1394" t="e">
        <f t="shared" si="27"/>
        <v>#VALUE!</v>
      </c>
      <c r="ES639" s="1394"/>
      <c r="ET639" s="1394"/>
      <c r="EU639" s="1394"/>
      <c r="EV639" s="1394"/>
      <c r="EW639" s="1394" t="e">
        <f t="shared" si="28"/>
        <v>#VALUE!</v>
      </c>
      <c r="EX639" s="1394"/>
      <c r="EY639" s="1394"/>
      <c r="EZ639" s="1394"/>
      <c r="FA639" s="1394"/>
    </row>
    <row r="640" spans="2:157" ht="12.95" customHeight="1">
      <c r="B640" s="1625" t="s">
        <v>268</v>
      </c>
      <c r="C640" s="1626"/>
      <c r="D640" s="1626"/>
      <c r="E640" s="1626"/>
      <c r="F640" s="1626"/>
      <c r="G640" s="1626"/>
      <c r="H640" s="1626"/>
      <c r="I640" s="1626"/>
      <c r="J640" s="1626"/>
      <c r="K640" s="1626"/>
      <c r="L640" s="1626"/>
      <c r="M640" s="1626"/>
      <c r="N640" s="1626"/>
      <c r="O640" s="1626"/>
      <c r="P640" s="1626"/>
      <c r="Q640" s="1626"/>
      <c r="R640" s="1626"/>
      <c r="S640" s="1626"/>
      <c r="T640" s="1626"/>
      <c r="U640" s="1626"/>
      <c r="V640" s="1626"/>
      <c r="W640" s="1626"/>
      <c r="X640" s="1626"/>
      <c r="Y640" s="1626"/>
      <c r="Z640" s="1626"/>
      <c r="AA640" s="1626"/>
      <c r="AB640" s="1626"/>
      <c r="AC640" s="1626"/>
      <c r="AD640" s="1626"/>
      <c r="AE640" s="1626"/>
      <c r="AF640" s="1626"/>
      <c r="AG640" s="1626"/>
      <c r="AH640" s="1626"/>
      <c r="AI640" s="1626"/>
      <c r="AJ640" s="1626"/>
      <c r="AK640" s="1626"/>
      <c r="AL640" s="1626"/>
      <c r="AM640" s="1626"/>
      <c r="AN640" s="1627"/>
      <c r="AO640" s="1399">
        <f>37217738+26287785</f>
        <v>63505523</v>
      </c>
      <c r="AP640" s="1400"/>
      <c r="AQ640" s="1400"/>
      <c r="AR640" s="1400"/>
      <c r="AS640" s="1401"/>
      <c r="AV640" s="3"/>
      <c r="AW640" s="3"/>
      <c r="AX640" s="3"/>
      <c r="AY640" s="3"/>
      <c r="AZ640" s="34"/>
      <c r="BA640" s="34"/>
      <c r="BB640" s="34"/>
      <c r="BC640" s="34"/>
      <c r="BD640" s="34"/>
      <c r="BE640" s="34"/>
      <c r="BF640" s="34"/>
      <c r="BG640" s="34"/>
      <c r="BH640" s="34"/>
      <c r="BI640" s="34"/>
      <c r="BJ640" s="34"/>
      <c r="BK640" s="34"/>
      <c r="BL640" s="34"/>
      <c r="BM640" s="34"/>
      <c r="BN640" s="1406">
        <f>IF(J776="SRO/Studio",O776,0)</f>
        <v>0</v>
      </c>
      <c r="BO640" s="1407"/>
      <c r="BP640" s="1407"/>
      <c r="BQ640" s="1407"/>
      <c r="BR640" s="1408"/>
      <c r="BS640" s="1409">
        <f>IF(J776="1 Bedroom",O776,0)</f>
        <v>0</v>
      </c>
      <c r="BT640" s="1409"/>
      <c r="BU640" s="1409"/>
      <c r="BV640" s="1409"/>
      <c r="BW640" s="1409"/>
      <c r="BX640" s="1409">
        <f>IF(J776="2 Bedrooms",O776,0)</f>
        <v>0</v>
      </c>
      <c r="BY640" s="1409"/>
      <c r="BZ640" s="1409"/>
      <c r="CA640" s="1409"/>
      <c r="CB640" s="1409"/>
      <c r="CC640" s="1409">
        <f>IF(J776="3 Bedrooms",O776,0)</f>
        <v>0</v>
      </c>
      <c r="CD640" s="1409"/>
      <c r="CE640" s="1409"/>
      <c r="CF640" s="1409"/>
      <c r="CG640" s="1409"/>
      <c r="CH640" s="1409">
        <f>IF(J776="4 Bedrooms",O776,0)</f>
        <v>0</v>
      </c>
      <c r="CI640" s="1409"/>
      <c r="CJ640" s="1409"/>
      <c r="CK640" s="1409"/>
      <c r="CL640" s="1409"/>
      <c r="CM640" s="1409">
        <f>IF(J776="5 Bedrooms",O776,0)</f>
        <v>0</v>
      </c>
      <c r="CN640" s="1409"/>
      <c r="CO640" s="1409"/>
      <c r="CP640" s="1409"/>
      <c r="CQ640" s="1409"/>
      <c r="CV640" s="3"/>
      <c r="CW640" s="3"/>
      <c r="CX640" s="3"/>
      <c r="CY640" s="3"/>
      <c r="CZ640" s="3"/>
      <c r="DA640" s="3"/>
      <c r="DB640" s="3"/>
      <c r="DC640" s="3"/>
      <c r="DD640" s="3"/>
      <c r="DE640" s="3"/>
      <c r="DF640" s="3"/>
      <c r="DX640" s="1394" t="e">
        <f t="shared" si="29"/>
        <v>#VALUE!</v>
      </c>
      <c r="DY640" s="1394"/>
      <c r="DZ640" s="1394"/>
      <c r="EA640" s="1394"/>
      <c r="EB640" s="1394"/>
      <c r="EC640" s="1394">
        <f t="shared" si="24"/>
        <v>118.31578947368421</v>
      </c>
      <c r="ED640" s="1394"/>
      <c r="EE640" s="1394"/>
      <c r="EF640" s="1394"/>
      <c r="EG640" s="1394"/>
      <c r="EH640" s="1394" t="e">
        <f t="shared" si="25"/>
        <v>#VALUE!</v>
      </c>
      <c r="EI640" s="1394"/>
      <c r="EJ640" s="1394"/>
      <c r="EK640" s="1394"/>
      <c r="EL640" s="1394"/>
      <c r="EM640" s="1394" t="e">
        <f t="shared" si="26"/>
        <v>#VALUE!</v>
      </c>
      <c r="EN640" s="1394"/>
      <c r="EO640" s="1394"/>
      <c r="EP640" s="1394"/>
      <c r="EQ640" s="1394"/>
      <c r="ER640" s="1394" t="e">
        <f t="shared" si="27"/>
        <v>#VALUE!</v>
      </c>
      <c r="ES640" s="1394"/>
      <c r="ET640" s="1394"/>
      <c r="EU640" s="1394"/>
      <c r="EV640" s="1394"/>
      <c r="EW640" s="1394" t="e">
        <f t="shared" si="28"/>
        <v>#VALUE!</v>
      </c>
      <c r="EX640" s="1394"/>
      <c r="EY640" s="1394"/>
      <c r="EZ640" s="1394"/>
      <c r="FA640" s="1394"/>
    </row>
    <row r="641" spans="1:157" ht="12.95" customHeight="1">
      <c r="B641" s="1855" t="s">
        <v>269</v>
      </c>
      <c r="C641" s="1704"/>
      <c r="D641" s="1704"/>
      <c r="E641" s="1704"/>
      <c r="F641" s="1704"/>
      <c r="G641" s="1704"/>
      <c r="H641" s="1704"/>
      <c r="I641" s="1704"/>
      <c r="J641" s="1704"/>
      <c r="K641" s="1704"/>
      <c r="L641" s="1704"/>
      <c r="M641" s="1704"/>
      <c r="N641" s="1704"/>
      <c r="O641" s="1704"/>
      <c r="P641" s="1704"/>
      <c r="Q641" s="1704"/>
      <c r="R641" s="1704"/>
      <c r="S641" s="1704"/>
      <c r="T641" s="1704"/>
      <c r="U641" s="1704"/>
      <c r="V641" s="1704"/>
      <c r="W641" s="1704"/>
      <c r="X641" s="1704"/>
      <c r="Y641" s="1704"/>
      <c r="Z641" s="1704"/>
      <c r="AA641" s="1704"/>
      <c r="AB641" s="1704"/>
      <c r="AC641" s="1704"/>
      <c r="AD641" s="1704"/>
      <c r="AE641" s="1704"/>
      <c r="AF641" s="1704"/>
      <c r="AG641" s="1704"/>
      <c r="AH641" s="1704"/>
      <c r="AI641" s="1704"/>
      <c r="AJ641" s="1704"/>
      <c r="AK641" s="1704"/>
      <c r="AL641" s="1704"/>
      <c r="AM641" s="1704"/>
      <c r="AN641" s="1856"/>
      <c r="AO641" s="1630">
        <f>AO639+AO640</f>
        <v>108545328</v>
      </c>
      <c r="AP641" s="1631"/>
      <c r="AQ641" s="1631"/>
      <c r="AR641" s="1631"/>
      <c r="AS641" s="1632"/>
      <c r="AV641" s="3"/>
      <c r="AW641" s="3"/>
      <c r="AX641" s="3"/>
      <c r="AY641" s="3"/>
      <c r="AZ641" s="34"/>
      <c r="BA641" s="34"/>
      <c r="BB641" s="34"/>
      <c r="BC641" s="34"/>
      <c r="BD641" s="34"/>
      <c r="BE641" s="34"/>
      <c r="BF641" s="34"/>
      <c r="BG641" s="34"/>
      <c r="BH641" s="34"/>
      <c r="BI641" s="34"/>
      <c r="BJ641" s="34"/>
      <c r="BK641" s="34"/>
      <c r="BL641" s="34"/>
      <c r="BM641" s="34"/>
      <c r="BN641" s="1414">
        <f>SUM(BN637:BR640)</f>
        <v>0</v>
      </c>
      <c r="BO641" s="1537"/>
      <c r="BP641" s="1537"/>
      <c r="BQ641" s="1537"/>
      <c r="BR641" s="1415"/>
      <c r="BS641" s="1697">
        <f>SUM(BS637:BW640)</f>
        <v>0</v>
      </c>
      <c r="BT641" s="1698"/>
      <c r="BU641" s="1698"/>
      <c r="BV641" s="1698"/>
      <c r="BW641" s="1699"/>
      <c r="BX641" s="1697">
        <f>SUM(BX637:CB640)</f>
        <v>1</v>
      </c>
      <c r="BY641" s="1698"/>
      <c r="BZ641" s="1698"/>
      <c r="CA641" s="1698"/>
      <c r="CB641" s="1699"/>
      <c r="CC641" s="1697">
        <f>SUM(CC637:CG640)</f>
        <v>1</v>
      </c>
      <c r="CD641" s="1698"/>
      <c r="CE641" s="1698"/>
      <c r="CF641" s="1698"/>
      <c r="CG641" s="1699"/>
      <c r="CH641" s="1697">
        <f>SUM(CH637:CL640)</f>
        <v>0</v>
      </c>
      <c r="CI641" s="1698"/>
      <c r="CJ641" s="1698"/>
      <c r="CK641" s="1698"/>
      <c r="CL641" s="1699"/>
      <c r="CM641" s="1697">
        <f>SUM(CM637:CQ640)</f>
        <v>0</v>
      </c>
      <c r="CN641" s="1698"/>
      <c r="CO641" s="1698"/>
      <c r="CP641" s="1698"/>
      <c r="CQ641" s="1699"/>
      <c r="CS641" s="895">
        <f>BN641+BS641+BX641+CC641+CH641+CM641</f>
        <v>2</v>
      </c>
      <c r="CT641" s="57" t="s">
        <v>2051</v>
      </c>
      <c r="CU641" s="3"/>
      <c r="CV641" s="3"/>
      <c r="CW641" s="3"/>
      <c r="CX641" s="3"/>
      <c r="CY641" s="3"/>
      <c r="CZ641" s="3"/>
      <c r="DA641" s="3"/>
      <c r="DB641" s="3"/>
      <c r="DC641" s="3"/>
      <c r="DD641" s="3"/>
      <c r="DE641" s="3"/>
      <c r="DF641" s="3"/>
      <c r="DX641" s="1394" t="e">
        <f t="shared" si="29"/>
        <v>#VALUE!</v>
      </c>
      <c r="DY641" s="1394"/>
      <c r="DZ641" s="1394"/>
      <c r="EA641" s="1394"/>
      <c r="EB641" s="1394"/>
      <c r="EC641" s="1394">
        <f t="shared" si="24"/>
        <v>444.63157894736838</v>
      </c>
      <c r="ED641" s="1394"/>
      <c r="EE641" s="1394"/>
      <c r="EF641" s="1394"/>
      <c r="EG641" s="1394"/>
      <c r="EH641" s="1394" t="e">
        <f t="shared" si="25"/>
        <v>#VALUE!</v>
      </c>
      <c r="EI641" s="1394"/>
      <c r="EJ641" s="1394"/>
      <c r="EK641" s="1394"/>
      <c r="EL641" s="1394"/>
      <c r="EM641" s="1394" t="e">
        <f t="shared" si="26"/>
        <v>#VALUE!</v>
      </c>
      <c r="EN641" s="1394"/>
      <c r="EO641" s="1394"/>
      <c r="EP641" s="1394"/>
      <c r="EQ641" s="1394"/>
      <c r="ER641" s="1394" t="e">
        <f t="shared" si="27"/>
        <v>#VALUE!</v>
      </c>
      <c r="ES641" s="1394"/>
      <c r="ET641" s="1394"/>
      <c r="EU641" s="1394"/>
      <c r="EV641" s="1394"/>
      <c r="EW641" s="1394" t="e">
        <f t="shared" si="28"/>
        <v>#VALUE!</v>
      </c>
      <c r="EX641" s="1394"/>
      <c r="EY641" s="1394"/>
      <c r="EZ641" s="1394"/>
      <c r="FA641" s="1394"/>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3</v>
      </c>
      <c r="CH642" s="3"/>
      <c r="CI642" s="3"/>
      <c r="CJ642" s="3"/>
      <c r="CK642" s="3"/>
      <c r="CL642" s="895">
        <f>CH641*4</f>
        <v>0</v>
      </c>
      <c r="CM642" s="3"/>
      <c r="CN642" s="3"/>
      <c r="CO642" s="3"/>
      <c r="CP642" s="3"/>
      <c r="CQ642" s="895">
        <f>CM641*5</f>
        <v>0</v>
      </c>
      <c r="CS642" s="895">
        <f>BR642+BW642+CB642+CG642+CL642+CQ642</f>
        <v>5</v>
      </c>
      <c r="CT642" s="57" t="s">
        <v>2053</v>
      </c>
      <c r="CU642" s="3"/>
      <c r="CV642" s="3"/>
      <c r="CW642" s="3"/>
      <c r="CX642" s="3"/>
      <c r="CY642" s="3"/>
      <c r="CZ642" s="3"/>
      <c r="DA642" s="3"/>
      <c r="DB642" s="3"/>
      <c r="DC642" s="3"/>
      <c r="DD642" s="3"/>
      <c r="DE642" s="3"/>
      <c r="DF642" s="3"/>
      <c r="DX642" s="1394" t="e">
        <f t="shared" si="29"/>
        <v>#VALUE!</v>
      </c>
      <c r="DY642" s="1394"/>
      <c r="DZ642" s="1394"/>
      <c r="EA642" s="1394"/>
      <c r="EB642" s="1394"/>
      <c r="EC642" s="1394">
        <f t="shared" si="24"/>
        <v>441.89473684210526</v>
      </c>
      <c r="ED642" s="1394"/>
      <c r="EE642" s="1394"/>
      <c r="EF642" s="1394"/>
      <c r="EG642" s="1394"/>
      <c r="EH642" s="1394" t="e">
        <f t="shared" si="25"/>
        <v>#VALUE!</v>
      </c>
      <c r="EI642" s="1394"/>
      <c r="EJ642" s="1394"/>
      <c r="EK642" s="1394"/>
      <c r="EL642" s="1394"/>
      <c r="EM642" s="1394" t="e">
        <f t="shared" si="26"/>
        <v>#VALUE!</v>
      </c>
      <c r="EN642" s="1394"/>
      <c r="EO642" s="1394"/>
      <c r="EP642" s="1394"/>
      <c r="EQ642" s="1394"/>
      <c r="ER642" s="1394" t="e">
        <f t="shared" si="27"/>
        <v>#VALUE!</v>
      </c>
      <c r="ES642" s="1394"/>
      <c r="ET642" s="1394"/>
      <c r="EU642" s="1394"/>
      <c r="EV642" s="1394"/>
      <c r="EW642" s="1394" t="e">
        <f t="shared" si="28"/>
        <v>#VALUE!</v>
      </c>
      <c r="EX642" s="1394"/>
      <c r="EY642" s="1394"/>
      <c r="EZ642" s="1394"/>
      <c r="FA642" s="1394"/>
    </row>
    <row r="643" spans="1:157" ht="12.95" customHeight="1">
      <c r="A643" s="55" t="s">
        <v>112</v>
      </c>
      <c r="B643" t="s">
        <v>472</v>
      </c>
      <c r="G643" s="1536" t="str">
        <f>C627</f>
        <v>Perm Loan - Banner Bank</v>
      </c>
      <c r="H643" s="1536"/>
      <c r="I643" s="1536"/>
      <c r="J643" s="1536"/>
      <c r="K643" s="1536"/>
      <c r="L643" s="1536"/>
      <c r="M643" s="1536"/>
      <c r="N643" s="1536"/>
      <c r="O643" s="1536"/>
      <c r="P643" s="1536"/>
      <c r="Q643" s="1536"/>
      <c r="R643" s="1536"/>
      <c r="S643" s="8"/>
      <c r="T643" s="55" t="s">
        <v>113</v>
      </c>
      <c r="U643" t="s">
        <v>472</v>
      </c>
      <c r="Z643" s="1536" t="str">
        <f>C628</f>
        <v>County of San Diego HOME</v>
      </c>
      <c r="AA643" s="1536"/>
      <c r="AB643" s="1536"/>
      <c r="AC643" s="1536"/>
      <c r="AD643" s="1536"/>
      <c r="AE643" s="1536"/>
      <c r="AF643" s="1536"/>
      <c r="AG643" s="1536"/>
      <c r="AH643" s="1536"/>
      <c r="AI643" s="1536"/>
      <c r="AJ643" s="1536"/>
      <c r="AK643" s="1536"/>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94" t="e">
        <f t="shared" si="29"/>
        <v>#VALUE!</v>
      </c>
      <c r="DY643" s="1394"/>
      <c r="DZ643" s="1394"/>
      <c r="EA643" s="1394"/>
      <c r="EB643" s="1394"/>
      <c r="EC643" s="1394" t="e">
        <f t="shared" si="24"/>
        <v>#VALUE!</v>
      </c>
      <c r="ED643" s="1394"/>
      <c r="EE643" s="1394"/>
      <c r="EF643" s="1394"/>
      <c r="EG643" s="1394"/>
      <c r="EH643" s="1394">
        <f t="shared" si="25"/>
        <v>240.71428571428569</v>
      </c>
      <c r="EI643" s="1394"/>
      <c r="EJ643" s="1394"/>
      <c r="EK643" s="1394"/>
      <c r="EL643" s="1394"/>
      <c r="EM643" s="1394" t="e">
        <f t="shared" si="26"/>
        <v>#VALUE!</v>
      </c>
      <c r="EN643" s="1394"/>
      <c r="EO643" s="1394"/>
      <c r="EP643" s="1394"/>
      <c r="EQ643" s="1394"/>
      <c r="ER643" s="1394" t="e">
        <f t="shared" si="27"/>
        <v>#VALUE!</v>
      </c>
      <c r="ES643" s="1394"/>
      <c r="ET643" s="1394"/>
      <c r="EU643" s="1394"/>
      <c r="EV643" s="1394"/>
      <c r="EW643" s="1394" t="e">
        <f t="shared" si="28"/>
        <v>#VALUE!</v>
      </c>
      <c r="EX643" s="1394"/>
      <c r="EY643" s="1394"/>
      <c r="EZ643" s="1394"/>
      <c r="FA643" s="1394"/>
    </row>
    <row r="644" spans="1:157" ht="12.95" customHeight="1">
      <c r="A644" s="22"/>
      <c r="B644" t="s">
        <v>85</v>
      </c>
      <c r="G644" s="1267" t="s">
        <v>2762</v>
      </c>
      <c r="H644" s="1263"/>
      <c r="I644" s="1263"/>
      <c r="J644" s="1263"/>
      <c r="K644" s="1263"/>
      <c r="L644" s="1263"/>
      <c r="M644" s="1263"/>
      <c r="N644" s="1263"/>
      <c r="O644" s="1263"/>
      <c r="P644" s="1263"/>
      <c r="Q644" s="1263"/>
      <c r="R644" s="1263"/>
      <c r="S644" s="8"/>
      <c r="T644" s="22"/>
      <c r="U644" t="s">
        <v>85</v>
      </c>
      <c r="Z644" s="1267" t="s">
        <v>2773</v>
      </c>
      <c r="AA644" s="1263"/>
      <c r="AB644" s="1263"/>
      <c r="AC644" s="1263"/>
      <c r="AD644" s="1263"/>
      <c r="AE644" s="1263"/>
      <c r="AF644" s="1263"/>
      <c r="AG644" s="1263"/>
      <c r="AH644" s="1263"/>
      <c r="AI644" s="1263"/>
      <c r="AJ644" s="1263"/>
      <c r="AK644" s="1263"/>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2058</v>
      </c>
      <c r="CT644" s="3"/>
      <c r="CU644" s="3"/>
      <c r="CV644" s="3"/>
      <c r="CW644" s="3"/>
      <c r="CX644" s="3"/>
      <c r="CY644" s="3"/>
      <c r="CZ644" s="3"/>
      <c r="DA644" s="3"/>
      <c r="DB644" s="3"/>
      <c r="DC644" s="3"/>
      <c r="DD644" s="3"/>
      <c r="DE644" s="3"/>
      <c r="DF644" s="3"/>
      <c r="DX644" s="1394" t="e">
        <f t="shared" si="29"/>
        <v>#VALUE!</v>
      </c>
      <c r="DY644" s="1394"/>
      <c r="DZ644" s="1394"/>
      <c r="EA644" s="1394"/>
      <c r="EB644" s="1394"/>
      <c r="EC644" s="1394" t="e">
        <f t="shared" si="24"/>
        <v>#VALUE!</v>
      </c>
      <c r="ED644" s="1394"/>
      <c r="EE644" s="1394"/>
      <c r="EF644" s="1394"/>
      <c r="EG644" s="1394"/>
      <c r="EH644" s="1394">
        <f t="shared" si="25"/>
        <v>450.66666666666663</v>
      </c>
      <c r="EI644" s="1394"/>
      <c r="EJ644" s="1394"/>
      <c r="EK644" s="1394"/>
      <c r="EL644" s="1394"/>
      <c r="EM644" s="1394" t="e">
        <f t="shared" si="26"/>
        <v>#VALUE!</v>
      </c>
      <c r="EN644" s="1394"/>
      <c r="EO644" s="1394"/>
      <c r="EP644" s="1394"/>
      <c r="EQ644" s="1394"/>
      <c r="ER644" s="1394" t="e">
        <f t="shared" si="27"/>
        <v>#VALUE!</v>
      </c>
      <c r="ES644" s="1394"/>
      <c r="ET644" s="1394"/>
      <c r="EU644" s="1394"/>
      <c r="EV644" s="1394"/>
      <c r="EW644" s="1394" t="e">
        <f t="shared" si="28"/>
        <v>#VALUE!</v>
      </c>
      <c r="EX644" s="1394"/>
      <c r="EY644" s="1394"/>
      <c r="EZ644" s="1394"/>
      <c r="FA644" s="1394"/>
    </row>
    <row r="645" spans="1:157" ht="12.95" customHeight="1">
      <c r="A645" s="22"/>
      <c r="B645" t="s">
        <v>589</v>
      </c>
      <c r="G645" s="1267" t="s">
        <v>2763</v>
      </c>
      <c r="H645" s="1263"/>
      <c r="I645" s="1263"/>
      <c r="J645" s="1263"/>
      <c r="K645" s="1263"/>
      <c r="L645" s="1263"/>
      <c r="M645" s="1263"/>
      <c r="N645" s="1263"/>
      <c r="O645" s="1263"/>
      <c r="P645" s="1263"/>
      <c r="Q645" s="1263"/>
      <c r="R645" s="1263"/>
      <c r="T645" s="22"/>
      <c r="U645" t="s">
        <v>589</v>
      </c>
      <c r="Z645" s="1265" t="s">
        <v>2774</v>
      </c>
      <c r="AA645" s="269"/>
      <c r="AB645" s="269"/>
      <c r="AC645" s="269"/>
      <c r="AD645" s="269"/>
      <c r="AE645" s="269"/>
      <c r="AF645" s="269"/>
      <c r="AG645" s="269"/>
      <c r="AH645" s="269"/>
      <c r="AI645" s="269"/>
      <c r="AJ645" s="269"/>
      <c r="AK645" s="269"/>
      <c r="AV645" s="3"/>
      <c r="AW645" s="3"/>
      <c r="AX645" s="3"/>
      <c r="AY645" s="3"/>
      <c r="AZ645" s="3"/>
      <c r="BA645" s="3"/>
      <c r="BB645" s="3"/>
      <c r="BC645" s="3"/>
      <c r="BD645" s="3"/>
      <c r="BE645" s="3"/>
      <c r="BF645" s="3"/>
      <c r="BG645" s="3"/>
      <c r="BH645" s="3"/>
      <c r="BI645" s="3"/>
      <c r="BJ645" s="3"/>
      <c r="BK645" s="3"/>
      <c r="BL645" s="3"/>
      <c r="BM645" s="3"/>
      <c r="BN645" s="1406">
        <f t="shared" ref="BN645:BN654" si="30">IF(J787="SRO/Studio",O787,0)</f>
        <v>0</v>
      </c>
      <c r="BO645" s="1407"/>
      <c r="BP645" s="1407"/>
      <c r="BQ645" s="1407"/>
      <c r="BR645" s="1408"/>
      <c r="BS645" s="1409">
        <f t="shared" ref="BS645:BS654" si="31">IF(J787="1 Bedroom",O787,0)</f>
        <v>0</v>
      </c>
      <c r="BT645" s="1409"/>
      <c r="BU645" s="1409"/>
      <c r="BV645" s="1409"/>
      <c r="BW645" s="1409"/>
      <c r="BX645" s="1409">
        <f t="shared" ref="BX645:BX654" si="32">IF(J787="2 Bedrooms",O787,0)</f>
        <v>0</v>
      </c>
      <c r="BY645" s="1409"/>
      <c r="BZ645" s="1409"/>
      <c r="CA645" s="1409"/>
      <c r="CB645" s="1409"/>
      <c r="CC645" s="1409">
        <f t="shared" ref="CC645:CC654" si="33">IF(J787="3 Bedrooms",O787,0)</f>
        <v>0</v>
      </c>
      <c r="CD645" s="1409"/>
      <c r="CE645" s="1409"/>
      <c r="CF645" s="1409"/>
      <c r="CG645" s="1409"/>
      <c r="CH645" s="1409">
        <f t="shared" ref="CH645:CH654" si="34">IF(J787="4 Bedrooms",O787,0)</f>
        <v>0</v>
      </c>
      <c r="CI645" s="1409"/>
      <c r="CJ645" s="1409"/>
      <c r="CK645" s="1409"/>
      <c r="CL645" s="1409"/>
      <c r="CM645" s="1409">
        <f t="shared" ref="CM645:CM654" si="35">IF(J787="5 Bedrooms",O787,0)</f>
        <v>0</v>
      </c>
      <c r="CN645" s="1409"/>
      <c r="CO645" s="1409"/>
      <c r="CP645" s="1409"/>
      <c r="CQ645" s="1409"/>
      <c r="CR645" s="6"/>
      <c r="CS645" s="1406">
        <f t="shared" ref="CS645:CS654" si="36">IF(AND(BN645&gt;=1,AH787&gt;=0.1,AH787&lt;=1),O787,0)</f>
        <v>0</v>
      </c>
      <c r="CT645" s="1407"/>
      <c r="CU645" s="1407"/>
      <c r="CV645" s="1407"/>
      <c r="CW645" s="1408"/>
      <c r="CX645" s="1406">
        <f t="shared" ref="CX645:CX654" si="37">IF(AND(BS645&gt;=1,AH787&gt;=0.1,AH787&lt;=1),O787,0)</f>
        <v>0</v>
      </c>
      <c r="CY645" s="1407"/>
      <c r="CZ645" s="1407"/>
      <c r="DA645" s="1407"/>
      <c r="DB645" s="1408"/>
      <c r="DC645" s="1406">
        <f t="shared" ref="DC645:DC654" si="38">IF(AND(BX645&gt;=1,AH787&gt;=0.1,AH787&lt;=1),O787,0)</f>
        <v>0</v>
      </c>
      <c r="DD645" s="1407"/>
      <c r="DE645" s="1407"/>
      <c r="DF645" s="1407"/>
      <c r="DG645" s="1408"/>
      <c r="DH645" s="1406">
        <f t="shared" ref="DH645:DH654" si="39">IF(AND(CC645&gt;=1,AH787&gt;=0.1,AH787&lt;=1),O787,0)</f>
        <v>0</v>
      </c>
      <c r="DI645" s="1407"/>
      <c r="DJ645" s="1407"/>
      <c r="DK645" s="1407"/>
      <c r="DL645" s="1408"/>
      <c r="DM645" s="1406">
        <f t="shared" ref="DM645:DM654" si="40">IF(AND(CH645&gt;=1,AH787&gt;=0.1,AH787&lt;=1),O787,0)</f>
        <v>0</v>
      </c>
      <c r="DN645" s="1407"/>
      <c r="DO645" s="1407"/>
      <c r="DP645" s="1407"/>
      <c r="DQ645" s="1408"/>
      <c r="DR645" s="1406">
        <f t="shared" ref="DR645:DR654" si="41">IF(AND(CM645&gt;=1,AH787&gt;=0.1,AH787&lt;=1),O787,0)</f>
        <v>0</v>
      </c>
      <c r="DS645" s="1407"/>
      <c r="DT645" s="1407"/>
      <c r="DU645" s="1407"/>
      <c r="DV645" s="1408"/>
      <c r="DX645" s="1394" t="e">
        <f t="shared" si="29"/>
        <v>#VALUE!</v>
      </c>
      <c r="DY645" s="1394"/>
      <c r="DZ645" s="1394"/>
      <c r="EA645" s="1394"/>
      <c r="EB645" s="1394"/>
      <c r="EC645" s="1394" t="e">
        <f t="shared" si="24"/>
        <v>#VALUE!</v>
      </c>
      <c r="ED645" s="1394"/>
      <c r="EE645" s="1394"/>
      <c r="EF645" s="1394"/>
      <c r="EG645" s="1394"/>
      <c r="EH645" s="1394">
        <f t="shared" si="25"/>
        <v>161.23809523809524</v>
      </c>
      <c r="EI645" s="1394"/>
      <c r="EJ645" s="1394"/>
      <c r="EK645" s="1394"/>
      <c r="EL645" s="1394"/>
      <c r="EM645" s="1394" t="e">
        <f t="shared" si="26"/>
        <v>#VALUE!</v>
      </c>
      <c r="EN645" s="1394"/>
      <c r="EO645" s="1394"/>
      <c r="EP645" s="1394"/>
      <c r="EQ645" s="1394"/>
      <c r="ER645" s="1394" t="e">
        <f t="shared" si="27"/>
        <v>#VALUE!</v>
      </c>
      <c r="ES645" s="1394"/>
      <c r="ET645" s="1394"/>
      <c r="EU645" s="1394"/>
      <c r="EV645" s="1394"/>
      <c r="EW645" s="1394" t="e">
        <f t="shared" si="28"/>
        <v>#VALUE!</v>
      </c>
      <c r="EX645" s="1394"/>
      <c r="EY645" s="1394"/>
      <c r="EZ645" s="1394"/>
      <c r="FA645" s="1394"/>
    </row>
    <row r="646" spans="1:157" ht="12.95" customHeight="1">
      <c r="A646" s="22"/>
      <c r="B646" t="s">
        <v>17</v>
      </c>
      <c r="G646" s="1267" t="s">
        <v>2764</v>
      </c>
      <c r="H646" s="1263"/>
      <c r="I646" s="1263"/>
      <c r="J646" s="1263"/>
      <c r="K646" s="1263"/>
      <c r="L646" s="1263"/>
      <c r="M646" s="1263"/>
      <c r="N646" s="1263"/>
      <c r="O646" s="1263"/>
      <c r="P646" s="1263"/>
      <c r="Q646" s="1263"/>
      <c r="R646" s="1263"/>
      <c r="S646" s="8"/>
      <c r="T646" s="22"/>
      <c r="U646" t="s">
        <v>17</v>
      </c>
      <c r="Z646" s="1265" t="s">
        <v>2775</v>
      </c>
      <c r="AA646" s="269"/>
      <c r="AB646" s="269"/>
      <c r="AC646" s="269"/>
      <c r="AD646" s="269"/>
      <c r="AE646" s="269"/>
      <c r="AF646" s="269"/>
      <c r="AG646" s="269"/>
      <c r="AH646" s="269"/>
      <c r="AI646" s="269"/>
      <c r="AJ646" s="269"/>
      <c r="AK646" s="269"/>
      <c r="AZ646" s="3"/>
      <c r="BA646" s="3"/>
      <c r="BB646" s="3"/>
      <c r="BC646" s="3"/>
      <c r="BD646" s="3"/>
      <c r="BE646" s="3"/>
      <c r="BF646" s="3"/>
      <c r="BG646" s="3"/>
      <c r="BH646" s="3"/>
      <c r="BI646" s="3"/>
      <c r="BJ646" s="3"/>
      <c r="BK646" s="3"/>
      <c r="BL646" s="3"/>
      <c r="BM646" s="3"/>
      <c r="BN646" s="1406">
        <f t="shared" si="30"/>
        <v>0</v>
      </c>
      <c r="BO646" s="1407"/>
      <c r="BP646" s="1407"/>
      <c r="BQ646" s="1407"/>
      <c r="BR646" s="1408"/>
      <c r="BS646" s="1409">
        <f t="shared" si="31"/>
        <v>0</v>
      </c>
      <c r="BT646" s="1409"/>
      <c r="BU646" s="1409"/>
      <c r="BV646" s="1409"/>
      <c r="BW646" s="1409"/>
      <c r="BX646" s="1409">
        <f t="shared" si="32"/>
        <v>0</v>
      </c>
      <c r="BY646" s="1409"/>
      <c r="BZ646" s="1409"/>
      <c r="CA646" s="1409"/>
      <c r="CB646" s="1409"/>
      <c r="CC646" s="1409">
        <f t="shared" si="33"/>
        <v>0</v>
      </c>
      <c r="CD646" s="1409"/>
      <c r="CE646" s="1409"/>
      <c r="CF646" s="1409"/>
      <c r="CG646" s="1409"/>
      <c r="CH646" s="1409">
        <f t="shared" si="34"/>
        <v>0</v>
      </c>
      <c r="CI646" s="1409"/>
      <c r="CJ646" s="1409"/>
      <c r="CK646" s="1409"/>
      <c r="CL646" s="1409"/>
      <c r="CM646" s="1409">
        <f t="shared" si="35"/>
        <v>0</v>
      </c>
      <c r="CN646" s="1409"/>
      <c r="CO646" s="1409"/>
      <c r="CP646" s="1409"/>
      <c r="CQ646" s="1409"/>
      <c r="CR646" s="6"/>
      <c r="CS646" s="1406">
        <f t="shared" si="36"/>
        <v>0</v>
      </c>
      <c r="CT646" s="1407"/>
      <c r="CU646" s="1407"/>
      <c r="CV646" s="1407"/>
      <c r="CW646" s="1408"/>
      <c r="CX646" s="1406">
        <f t="shared" si="37"/>
        <v>0</v>
      </c>
      <c r="CY646" s="1407"/>
      <c r="CZ646" s="1407"/>
      <c r="DA646" s="1407"/>
      <c r="DB646" s="1408"/>
      <c r="DC646" s="1406">
        <f t="shared" si="38"/>
        <v>0</v>
      </c>
      <c r="DD646" s="1407"/>
      <c r="DE646" s="1407"/>
      <c r="DF646" s="1407"/>
      <c r="DG646" s="1408"/>
      <c r="DH646" s="1406">
        <f t="shared" si="39"/>
        <v>0</v>
      </c>
      <c r="DI646" s="1407"/>
      <c r="DJ646" s="1407"/>
      <c r="DK646" s="1407"/>
      <c r="DL646" s="1408"/>
      <c r="DM646" s="1406">
        <f t="shared" si="40"/>
        <v>0</v>
      </c>
      <c r="DN646" s="1407"/>
      <c r="DO646" s="1407"/>
      <c r="DP646" s="1407"/>
      <c r="DQ646" s="1408"/>
      <c r="DR646" s="1406">
        <f t="shared" si="41"/>
        <v>0</v>
      </c>
      <c r="DS646" s="1407"/>
      <c r="DT646" s="1407"/>
      <c r="DU646" s="1407"/>
      <c r="DV646" s="1408"/>
      <c r="DX646" s="1394" t="e">
        <f t="shared" si="29"/>
        <v>#VALUE!</v>
      </c>
      <c r="DY646" s="1394"/>
      <c r="DZ646" s="1394"/>
      <c r="EA646" s="1394"/>
      <c r="EB646" s="1394"/>
      <c r="EC646" s="1394" t="e">
        <f t="shared" si="24"/>
        <v>#VALUE!</v>
      </c>
      <c r="ED646" s="1394"/>
      <c r="EE646" s="1394"/>
      <c r="EF646" s="1394"/>
      <c r="EG646" s="1394"/>
      <c r="EH646" s="1394">
        <f t="shared" si="25"/>
        <v>193.71428571428569</v>
      </c>
      <c r="EI646" s="1394"/>
      <c r="EJ646" s="1394"/>
      <c r="EK646" s="1394"/>
      <c r="EL646" s="1394"/>
      <c r="EM646" s="1394" t="e">
        <f t="shared" si="26"/>
        <v>#VALUE!</v>
      </c>
      <c r="EN646" s="1394"/>
      <c r="EO646" s="1394"/>
      <c r="EP646" s="1394"/>
      <c r="EQ646" s="1394"/>
      <c r="ER646" s="1394" t="e">
        <f t="shared" si="27"/>
        <v>#VALUE!</v>
      </c>
      <c r="ES646" s="1394"/>
      <c r="ET646" s="1394"/>
      <c r="EU646" s="1394"/>
      <c r="EV646" s="1394"/>
      <c r="EW646" s="1394" t="e">
        <f t="shared" si="28"/>
        <v>#VALUE!</v>
      </c>
      <c r="EX646" s="1394"/>
      <c r="EY646" s="1394"/>
      <c r="EZ646" s="1394"/>
      <c r="FA646" s="1394"/>
    </row>
    <row r="647" spans="1:157" ht="12.95" customHeight="1">
      <c r="A647" s="22"/>
      <c r="B647" t="s">
        <v>317</v>
      </c>
      <c r="G647" s="1266" t="s">
        <v>2778</v>
      </c>
      <c r="H647" s="1264"/>
      <c r="I647" s="1264"/>
      <c r="J647" s="1264"/>
      <c r="K647" s="1264"/>
      <c r="L647" s="1264"/>
      <c r="O647" s="33" t="s">
        <v>207</v>
      </c>
      <c r="P647" s="1403" t="s">
        <v>600</v>
      </c>
      <c r="Q647" s="1402"/>
      <c r="R647" s="1402"/>
      <c r="S647" s="10"/>
      <c r="T647" s="22"/>
      <c r="U647" t="s">
        <v>317</v>
      </c>
      <c r="Z647" s="1266" t="s">
        <v>2779</v>
      </c>
      <c r="AA647" s="1264"/>
      <c r="AB647" s="1264"/>
      <c r="AC647" s="1264"/>
      <c r="AD647" s="1264"/>
      <c r="AE647" s="1264"/>
      <c r="AH647" s="33" t="s">
        <v>207</v>
      </c>
      <c r="AI647" s="1403" t="s">
        <v>600</v>
      </c>
      <c r="AJ647" s="1402"/>
      <c r="AK647" s="1402"/>
      <c r="AZ647" s="34"/>
      <c r="BA647" s="34"/>
      <c r="BB647" s="34"/>
      <c r="BC647" s="34"/>
      <c r="BD647" s="34"/>
      <c r="BE647" s="34"/>
      <c r="BF647" s="34"/>
      <c r="BG647" s="34"/>
      <c r="BH647" s="34"/>
      <c r="BI647" s="34"/>
      <c r="BJ647" s="34"/>
      <c r="BK647" s="34"/>
      <c r="BL647" s="34"/>
      <c r="BM647" s="34"/>
      <c r="BN647" s="1406">
        <f t="shared" si="30"/>
        <v>0</v>
      </c>
      <c r="BO647" s="1407"/>
      <c r="BP647" s="1407"/>
      <c r="BQ647" s="1407"/>
      <c r="BR647" s="1408"/>
      <c r="BS647" s="1409">
        <f t="shared" si="31"/>
        <v>0</v>
      </c>
      <c r="BT647" s="1409"/>
      <c r="BU647" s="1409"/>
      <c r="BV647" s="1409"/>
      <c r="BW647" s="1409"/>
      <c r="BX647" s="1409">
        <f t="shared" si="32"/>
        <v>0</v>
      </c>
      <c r="BY647" s="1409"/>
      <c r="BZ647" s="1409"/>
      <c r="CA647" s="1409"/>
      <c r="CB647" s="1409"/>
      <c r="CC647" s="1409">
        <f t="shared" si="33"/>
        <v>0</v>
      </c>
      <c r="CD647" s="1409"/>
      <c r="CE647" s="1409"/>
      <c r="CF647" s="1409"/>
      <c r="CG647" s="1409"/>
      <c r="CH647" s="1409">
        <f t="shared" si="34"/>
        <v>0</v>
      </c>
      <c r="CI647" s="1409"/>
      <c r="CJ647" s="1409"/>
      <c r="CK647" s="1409"/>
      <c r="CL647" s="1409"/>
      <c r="CM647" s="1409">
        <f t="shared" si="35"/>
        <v>0</v>
      </c>
      <c r="CN647" s="1409"/>
      <c r="CO647" s="1409"/>
      <c r="CP647" s="1409"/>
      <c r="CQ647" s="1409"/>
      <c r="CR647" s="6"/>
      <c r="CS647" s="1406">
        <f t="shared" si="36"/>
        <v>0</v>
      </c>
      <c r="CT647" s="1407"/>
      <c r="CU647" s="1407"/>
      <c r="CV647" s="1407"/>
      <c r="CW647" s="1408"/>
      <c r="CX647" s="1406">
        <f t="shared" si="37"/>
        <v>0</v>
      </c>
      <c r="CY647" s="1407"/>
      <c r="CZ647" s="1407"/>
      <c r="DA647" s="1407"/>
      <c r="DB647" s="1408"/>
      <c r="DC647" s="1406">
        <f t="shared" si="38"/>
        <v>0</v>
      </c>
      <c r="DD647" s="1407"/>
      <c r="DE647" s="1407"/>
      <c r="DF647" s="1407"/>
      <c r="DG647" s="1408"/>
      <c r="DH647" s="1406">
        <f t="shared" si="39"/>
        <v>0</v>
      </c>
      <c r="DI647" s="1407"/>
      <c r="DJ647" s="1407"/>
      <c r="DK647" s="1407"/>
      <c r="DL647" s="1408"/>
      <c r="DM647" s="1406">
        <f t="shared" si="40"/>
        <v>0</v>
      </c>
      <c r="DN647" s="1407"/>
      <c r="DO647" s="1407"/>
      <c r="DP647" s="1407"/>
      <c r="DQ647" s="1408"/>
      <c r="DR647" s="1406">
        <f t="shared" si="41"/>
        <v>0</v>
      </c>
      <c r="DS647" s="1407"/>
      <c r="DT647" s="1407"/>
      <c r="DU647" s="1407"/>
      <c r="DV647" s="1408"/>
      <c r="DX647" s="1394" t="e">
        <f t="shared" si="29"/>
        <v>#VALUE!</v>
      </c>
      <c r="DY647" s="1394"/>
      <c r="DZ647" s="1394"/>
      <c r="EA647" s="1394"/>
      <c r="EB647" s="1394"/>
      <c r="EC647" s="1394" t="e">
        <f t="shared" si="24"/>
        <v>#VALUE!</v>
      </c>
      <c r="ED647" s="1394"/>
      <c r="EE647" s="1394"/>
      <c r="EF647" s="1394"/>
      <c r="EG647" s="1394"/>
      <c r="EH647" s="1394">
        <f t="shared" si="25"/>
        <v>630.95238095238096</v>
      </c>
      <c r="EI647" s="1394"/>
      <c r="EJ647" s="1394"/>
      <c r="EK647" s="1394"/>
      <c r="EL647" s="1394"/>
      <c r="EM647" s="1394" t="e">
        <f t="shared" si="26"/>
        <v>#VALUE!</v>
      </c>
      <c r="EN647" s="1394"/>
      <c r="EO647" s="1394"/>
      <c r="EP647" s="1394"/>
      <c r="EQ647" s="1394"/>
      <c r="ER647" s="1394" t="e">
        <f t="shared" si="27"/>
        <v>#VALUE!</v>
      </c>
      <c r="ES647" s="1394"/>
      <c r="ET647" s="1394"/>
      <c r="EU647" s="1394"/>
      <c r="EV647" s="1394"/>
      <c r="EW647" s="1394" t="e">
        <f t="shared" si="28"/>
        <v>#VALUE!</v>
      </c>
      <c r="EX647" s="1394"/>
      <c r="EY647" s="1394"/>
      <c r="EZ647" s="1394"/>
      <c r="FA647" s="1394"/>
    </row>
    <row r="648" spans="1:157" ht="12.95" customHeight="1">
      <c r="A648" s="22"/>
      <c r="B648" t="s">
        <v>18</v>
      </c>
      <c r="H648" s="1554" t="s">
        <v>2756</v>
      </c>
      <c r="I648" s="1398"/>
      <c r="J648" s="1398"/>
      <c r="K648" s="1398"/>
      <c r="L648" s="1398"/>
      <c r="M648" s="1398"/>
      <c r="N648" s="1398"/>
      <c r="O648" s="1398"/>
      <c r="P648" s="1398"/>
      <c r="Q648" s="1398"/>
      <c r="R648" s="1398"/>
      <c r="S648" s="8"/>
      <c r="T648" s="22"/>
      <c r="U648" t="s">
        <v>18</v>
      </c>
      <c r="AA648" s="1554" t="s">
        <v>2757</v>
      </c>
      <c r="AB648" s="1398"/>
      <c r="AC648" s="1398"/>
      <c r="AD648" s="1398"/>
      <c r="AE648" s="1398"/>
      <c r="AF648" s="1398"/>
      <c r="AG648" s="1398"/>
      <c r="AH648" s="1398"/>
      <c r="AI648" s="1398"/>
      <c r="AJ648" s="1398"/>
      <c r="AK648" s="1398"/>
      <c r="AZ648" s="34"/>
      <c r="BA648" s="34"/>
      <c r="BB648" s="34"/>
      <c r="BC648" s="34"/>
      <c r="BD648" s="34"/>
      <c r="BE648" s="34"/>
      <c r="BF648" s="34"/>
      <c r="BG648" s="34"/>
      <c r="BH648" s="34"/>
      <c r="BI648" s="34"/>
      <c r="BJ648" s="34"/>
      <c r="BK648" s="34"/>
      <c r="BL648" s="34"/>
      <c r="BM648" s="34"/>
      <c r="BN648" s="1406">
        <f t="shared" si="30"/>
        <v>0</v>
      </c>
      <c r="BO648" s="1407"/>
      <c r="BP648" s="1407"/>
      <c r="BQ648" s="1407"/>
      <c r="BR648" s="1408"/>
      <c r="BS648" s="1409">
        <f t="shared" si="31"/>
        <v>0</v>
      </c>
      <c r="BT648" s="1409"/>
      <c r="BU648" s="1409"/>
      <c r="BV648" s="1409"/>
      <c r="BW648" s="1409"/>
      <c r="BX648" s="1409">
        <f t="shared" si="32"/>
        <v>0</v>
      </c>
      <c r="BY648" s="1409"/>
      <c r="BZ648" s="1409"/>
      <c r="CA648" s="1409"/>
      <c r="CB648" s="1409"/>
      <c r="CC648" s="1409">
        <f t="shared" si="33"/>
        <v>0</v>
      </c>
      <c r="CD648" s="1409"/>
      <c r="CE648" s="1409"/>
      <c r="CF648" s="1409"/>
      <c r="CG648" s="1409"/>
      <c r="CH648" s="1409">
        <f t="shared" si="34"/>
        <v>0</v>
      </c>
      <c r="CI648" s="1409"/>
      <c r="CJ648" s="1409"/>
      <c r="CK648" s="1409"/>
      <c r="CL648" s="1409"/>
      <c r="CM648" s="1409">
        <f t="shared" si="35"/>
        <v>0</v>
      </c>
      <c r="CN648" s="1409"/>
      <c r="CO648" s="1409"/>
      <c r="CP648" s="1409"/>
      <c r="CQ648" s="1409"/>
      <c r="CR648" s="6"/>
      <c r="CS648" s="1406">
        <f t="shared" si="36"/>
        <v>0</v>
      </c>
      <c r="CT648" s="1407"/>
      <c r="CU648" s="1407"/>
      <c r="CV648" s="1407"/>
      <c r="CW648" s="1408"/>
      <c r="CX648" s="1406">
        <f t="shared" si="37"/>
        <v>0</v>
      </c>
      <c r="CY648" s="1407"/>
      <c r="CZ648" s="1407"/>
      <c r="DA648" s="1407"/>
      <c r="DB648" s="1408"/>
      <c r="DC648" s="1406">
        <f t="shared" si="38"/>
        <v>0</v>
      </c>
      <c r="DD648" s="1407"/>
      <c r="DE648" s="1407"/>
      <c r="DF648" s="1407"/>
      <c r="DG648" s="1408"/>
      <c r="DH648" s="1406">
        <f t="shared" si="39"/>
        <v>0</v>
      </c>
      <c r="DI648" s="1407"/>
      <c r="DJ648" s="1407"/>
      <c r="DK648" s="1407"/>
      <c r="DL648" s="1408"/>
      <c r="DM648" s="1406">
        <f t="shared" si="40"/>
        <v>0</v>
      </c>
      <c r="DN648" s="1407"/>
      <c r="DO648" s="1407"/>
      <c r="DP648" s="1407"/>
      <c r="DQ648" s="1408"/>
      <c r="DR648" s="1406">
        <f t="shared" si="41"/>
        <v>0</v>
      </c>
      <c r="DS648" s="1407"/>
      <c r="DT648" s="1407"/>
      <c r="DU648" s="1407"/>
      <c r="DV648" s="1408"/>
      <c r="DX648" s="1394" t="e">
        <f t="shared" si="29"/>
        <v>#VALUE!</v>
      </c>
      <c r="DY648" s="1394"/>
      <c r="DZ648" s="1394"/>
      <c r="EA648" s="1394"/>
      <c r="EB648" s="1394"/>
      <c r="EC648" s="1394" t="e">
        <f t="shared" si="24"/>
        <v>#VALUE!</v>
      </c>
      <c r="ED648" s="1394"/>
      <c r="EE648" s="1394"/>
      <c r="EF648" s="1394"/>
      <c r="EG648" s="1394"/>
      <c r="EH648" s="1394" t="e">
        <f t="shared" si="25"/>
        <v>#VALUE!</v>
      </c>
      <c r="EI648" s="1394"/>
      <c r="EJ648" s="1394"/>
      <c r="EK648" s="1394"/>
      <c r="EL648" s="1394"/>
      <c r="EM648" s="1394">
        <f t="shared" si="26"/>
        <v>28.536585365853661</v>
      </c>
      <c r="EN648" s="1394"/>
      <c r="EO648" s="1394"/>
      <c r="EP648" s="1394"/>
      <c r="EQ648" s="1394"/>
      <c r="ER648" s="1394" t="e">
        <f t="shared" si="27"/>
        <v>#VALUE!</v>
      </c>
      <c r="ES648" s="1394"/>
      <c r="ET648" s="1394"/>
      <c r="EU648" s="1394"/>
      <c r="EV648" s="1394"/>
      <c r="EW648" s="1394" t="e">
        <f t="shared" si="28"/>
        <v>#VALUE!</v>
      </c>
      <c r="EX648" s="1394"/>
      <c r="EY648" s="1394"/>
      <c r="EZ648" s="1394"/>
      <c r="FA648" s="1394"/>
    </row>
    <row r="649" spans="1:157" ht="12.95" customHeight="1">
      <c r="A649" s="22"/>
      <c r="B649" t="s">
        <v>20</v>
      </c>
      <c r="N649" s="1494" t="s">
        <v>554</v>
      </c>
      <c r="O649" s="1494"/>
      <c r="T649" s="22"/>
      <c r="U649" t="s">
        <v>20</v>
      </c>
      <c r="AG649" s="1494" t="s">
        <v>554</v>
      </c>
      <c r="AH649" s="1494"/>
      <c r="AZ649" s="34"/>
      <c r="BA649" s="34"/>
      <c r="BB649" s="34"/>
      <c r="BC649" s="34"/>
      <c r="BD649" s="34"/>
      <c r="BE649" s="34"/>
      <c r="BF649" s="34"/>
      <c r="BG649" s="34"/>
      <c r="BH649" s="34"/>
      <c r="BI649" s="34"/>
      <c r="BJ649" s="34"/>
      <c r="BK649" s="34"/>
      <c r="BL649" s="34"/>
      <c r="BM649" s="34"/>
      <c r="BN649" s="1406">
        <f t="shared" si="30"/>
        <v>0</v>
      </c>
      <c r="BO649" s="1407"/>
      <c r="BP649" s="1407"/>
      <c r="BQ649" s="1407"/>
      <c r="BR649" s="1408"/>
      <c r="BS649" s="1409">
        <f t="shared" si="31"/>
        <v>0</v>
      </c>
      <c r="BT649" s="1409"/>
      <c r="BU649" s="1409"/>
      <c r="BV649" s="1409"/>
      <c r="BW649" s="1409"/>
      <c r="BX649" s="1409">
        <f t="shared" si="32"/>
        <v>0</v>
      </c>
      <c r="BY649" s="1409"/>
      <c r="BZ649" s="1409"/>
      <c r="CA649" s="1409"/>
      <c r="CB649" s="1409"/>
      <c r="CC649" s="1409">
        <f t="shared" si="33"/>
        <v>0</v>
      </c>
      <c r="CD649" s="1409"/>
      <c r="CE649" s="1409"/>
      <c r="CF649" s="1409"/>
      <c r="CG649" s="1409"/>
      <c r="CH649" s="1409">
        <f t="shared" si="34"/>
        <v>0</v>
      </c>
      <c r="CI649" s="1409"/>
      <c r="CJ649" s="1409"/>
      <c r="CK649" s="1409"/>
      <c r="CL649" s="1409"/>
      <c r="CM649" s="1409">
        <f t="shared" si="35"/>
        <v>0</v>
      </c>
      <c r="CN649" s="1409"/>
      <c r="CO649" s="1409"/>
      <c r="CP649" s="1409"/>
      <c r="CQ649" s="1409"/>
      <c r="CR649" s="6"/>
      <c r="CS649" s="1406">
        <f t="shared" si="36"/>
        <v>0</v>
      </c>
      <c r="CT649" s="1407"/>
      <c r="CU649" s="1407"/>
      <c r="CV649" s="1407"/>
      <c r="CW649" s="1408"/>
      <c r="CX649" s="1406">
        <f t="shared" si="37"/>
        <v>0</v>
      </c>
      <c r="CY649" s="1407"/>
      <c r="CZ649" s="1407"/>
      <c r="DA649" s="1407"/>
      <c r="DB649" s="1408"/>
      <c r="DC649" s="1406">
        <f t="shared" si="38"/>
        <v>0</v>
      </c>
      <c r="DD649" s="1407"/>
      <c r="DE649" s="1407"/>
      <c r="DF649" s="1407"/>
      <c r="DG649" s="1408"/>
      <c r="DH649" s="1406">
        <f t="shared" si="39"/>
        <v>0</v>
      </c>
      <c r="DI649" s="1407"/>
      <c r="DJ649" s="1407"/>
      <c r="DK649" s="1407"/>
      <c r="DL649" s="1408"/>
      <c r="DM649" s="1406">
        <f t="shared" si="40"/>
        <v>0</v>
      </c>
      <c r="DN649" s="1407"/>
      <c r="DO649" s="1407"/>
      <c r="DP649" s="1407"/>
      <c r="DQ649" s="1408"/>
      <c r="DR649" s="1406">
        <f t="shared" si="41"/>
        <v>0</v>
      </c>
      <c r="DS649" s="1407"/>
      <c r="DT649" s="1407"/>
      <c r="DU649" s="1407"/>
      <c r="DV649" s="1408"/>
      <c r="DX649" s="1394" t="e">
        <f t="shared" si="29"/>
        <v>#VALUE!</v>
      </c>
      <c r="DY649" s="1394"/>
      <c r="DZ649" s="1394"/>
      <c r="EA649" s="1394"/>
      <c r="EB649" s="1394"/>
      <c r="EC649" s="1394" t="e">
        <f t="shared" si="24"/>
        <v>#VALUE!</v>
      </c>
      <c r="ED649" s="1394"/>
      <c r="EE649" s="1394"/>
      <c r="EF649" s="1394"/>
      <c r="EG649" s="1394"/>
      <c r="EH649" s="1394" t="e">
        <f t="shared" si="25"/>
        <v>#VALUE!</v>
      </c>
      <c r="EI649" s="1394"/>
      <c r="EJ649" s="1394"/>
      <c r="EK649" s="1394"/>
      <c r="EL649" s="1394"/>
      <c r="EM649" s="1394">
        <f t="shared" si="26"/>
        <v>114.14634146341464</v>
      </c>
      <c r="EN649" s="1394"/>
      <c r="EO649" s="1394"/>
      <c r="EP649" s="1394"/>
      <c r="EQ649" s="1394"/>
      <c r="ER649" s="1394" t="e">
        <f t="shared" si="27"/>
        <v>#VALUE!</v>
      </c>
      <c r="ES649" s="1394"/>
      <c r="ET649" s="1394"/>
      <c r="EU649" s="1394"/>
      <c r="EV649" s="1394"/>
      <c r="EW649" s="1394" t="e">
        <f t="shared" si="28"/>
        <v>#VALUE!</v>
      </c>
      <c r="EX649" s="1394"/>
      <c r="EY649" s="1394"/>
      <c r="EZ649" s="1394"/>
      <c r="FA649" s="1394"/>
    </row>
    <row r="650" spans="1:157" ht="12.95" customHeight="1">
      <c r="A650" s="22"/>
      <c r="T650" s="22"/>
      <c r="AZ650" s="34"/>
      <c r="BA650" s="34"/>
      <c r="BB650" s="34"/>
      <c r="BC650" s="34"/>
      <c r="BD650" s="34"/>
      <c r="BE650" s="34"/>
      <c r="BF650" s="34"/>
      <c r="BG650" s="34"/>
      <c r="BH650" s="34"/>
      <c r="BI650" s="34"/>
      <c r="BJ650" s="34"/>
      <c r="BK650" s="34"/>
      <c r="BL650" s="34"/>
      <c r="BM650" s="34"/>
      <c r="BN650" s="1406">
        <f t="shared" si="30"/>
        <v>0</v>
      </c>
      <c r="BO650" s="1407"/>
      <c r="BP650" s="1407"/>
      <c r="BQ650" s="1407"/>
      <c r="BR650" s="1408"/>
      <c r="BS650" s="1409">
        <f t="shared" si="31"/>
        <v>0</v>
      </c>
      <c r="BT650" s="1409"/>
      <c r="BU650" s="1409"/>
      <c r="BV650" s="1409"/>
      <c r="BW650" s="1409"/>
      <c r="BX650" s="1409">
        <f t="shared" si="32"/>
        <v>0</v>
      </c>
      <c r="BY650" s="1409"/>
      <c r="BZ650" s="1409"/>
      <c r="CA650" s="1409"/>
      <c r="CB650" s="1409"/>
      <c r="CC650" s="1409">
        <f t="shared" si="33"/>
        <v>0</v>
      </c>
      <c r="CD650" s="1409"/>
      <c r="CE650" s="1409"/>
      <c r="CF650" s="1409"/>
      <c r="CG650" s="1409"/>
      <c r="CH650" s="1409">
        <f t="shared" si="34"/>
        <v>0</v>
      </c>
      <c r="CI650" s="1409"/>
      <c r="CJ650" s="1409"/>
      <c r="CK650" s="1409"/>
      <c r="CL650" s="1409"/>
      <c r="CM650" s="1409">
        <f t="shared" si="35"/>
        <v>0</v>
      </c>
      <c r="CN650" s="1409"/>
      <c r="CO650" s="1409"/>
      <c r="CP650" s="1409"/>
      <c r="CQ650" s="1409"/>
      <c r="CR650" s="6"/>
      <c r="CS650" s="1406">
        <f t="shared" si="36"/>
        <v>0</v>
      </c>
      <c r="CT650" s="1407"/>
      <c r="CU650" s="1407"/>
      <c r="CV650" s="1407"/>
      <c r="CW650" s="1408"/>
      <c r="CX650" s="1406">
        <f t="shared" si="37"/>
        <v>0</v>
      </c>
      <c r="CY650" s="1407"/>
      <c r="CZ650" s="1407"/>
      <c r="DA650" s="1407"/>
      <c r="DB650" s="1408"/>
      <c r="DC650" s="1406">
        <f t="shared" si="38"/>
        <v>0</v>
      </c>
      <c r="DD650" s="1407"/>
      <c r="DE650" s="1407"/>
      <c r="DF650" s="1407"/>
      <c r="DG650" s="1408"/>
      <c r="DH650" s="1406">
        <f t="shared" si="39"/>
        <v>0</v>
      </c>
      <c r="DI650" s="1407"/>
      <c r="DJ650" s="1407"/>
      <c r="DK650" s="1407"/>
      <c r="DL650" s="1408"/>
      <c r="DM650" s="1406">
        <f t="shared" si="40"/>
        <v>0</v>
      </c>
      <c r="DN650" s="1407"/>
      <c r="DO650" s="1407"/>
      <c r="DP650" s="1407"/>
      <c r="DQ650" s="1408"/>
      <c r="DR650" s="1406">
        <f t="shared" si="41"/>
        <v>0</v>
      </c>
      <c r="DS650" s="1407"/>
      <c r="DT650" s="1407"/>
      <c r="DU650" s="1407"/>
      <c r="DV650" s="1408"/>
      <c r="DX650" s="1394" t="e">
        <f t="shared" si="29"/>
        <v>#VALUE!</v>
      </c>
      <c r="DY650" s="1394"/>
      <c r="DZ650" s="1394"/>
      <c r="EA650" s="1394"/>
      <c r="EB650" s="1394"/>
      <c r="EC650" s="1394" t="e">
        <f t="shared" si="24"/>
        <v>#VALUE!</v>
      </c>
      <c r="ED650" s="1394"/>
      <c r="EE650" s="1394"/>
      <c r="EF650" s="1394"/>
      <c r="EG650" s="1394"/>
      <c r="EH650" s="1394" t="e">
        <f t="shared" si="25"/>
        <v>#VALUE!</v>
      </c>
      <c r="EI650" s="1394"/>
      <c r="EJ650" s="1394"/>
      <c r="EK650" s="1394"/>
      <c r="EL650" s="1394"/>
      <c r="EM650" s="1394">
        <f t="shared" si="26"/>
        <v>267.02439024390247</v>
      </c>
      <c r="EN650" s="1394"/>
      <c r="EO650" s="1394"/>
      <c r="EP650" s="1394"/>
      <c r="EQ650" s="1394"/>
      <c r="ER650" s="1394" t="e">
        <f t="shared" si="27"/>
        <v>#VALUE!</v>
      </c>
      <c r="ES650" s="1394"/>
      <c r="ET650" s="1394"/>
      <c r="EU650" s="1394"/>
      <c r="EV650" s="1394"/>
      <c r="EW650" s="1394" t="e">
        <f t="shared" si="28"/>
        <v>#VALUE!</v>
      </c>
      <c r="EX650" s="1394"/>
      <c r="EY650" s="1394"/>
      <c r="EZ650" s="1394"/>
      <c r="FA650" s="1394"/>
    </row>
    <row r="651" spans="1:157" ht="12.95" customHeight="1">
      <c r="A651" s="55" t="s">
        <v>119</v>
      </c>
      <c r="B651" t="s">
        <v>472</v>
      </c>
      <c r="G651" s="1536" t="str">
        <f>C629</f>
        <v>HCD Super NOFA (IIG)</v>
      </c>
      <c r="H651" s="1536"/>
      <c r="I651" s="1536"/>
      <c r="J651" s="1536"/>
      <c r="K651" s="1536"/>
      <c r="L651" s="1536"/>
      <c r="M651" s="1536"/>
      <c r="N651" s="1536"/>
      <c r="O651" s="1536"/>
      <c r="P651" s="1536"/>
      <c r="Q651" s="1536"/>
      <c r="R651" s="1536"/>
      <c r="T651" s="55" t="s">
        <v>590</v>
      </c>
      <c r="U651" t="s">
        <v>472</v>
      </c>
      <c r="Z651" s="1536" t="str">
        <f>C630</f>
        <v>Deferred Developer Fee</v>
      </c>
      <c r="AA651" s="1536"/>
      <c r="AB651" s="1536"/>
      <c r="AC651" s="1536"/>
      <c r="AD651" s="1536"/>
      <c r="AE651" s="1536"/>
      <c r="AF651" s="1536"/>
      <c r="AG651" s="1536"/>
      <c r="AH651" s="1536"/>
      <c r="AI651" s="1536"/>
      <c r="AJ651" s="1536"/>
      <c r="AK651" s="1536"/>
      <c r="AZ651" s="34"/>
      <c r="BA651" s="34"/>
      <c r="BB651" s="34"/>
      <c r="BC651" s="34"/>
      <c r="BD651" s="34"/>
      <c r="BE651" s="34"/>
      <c r="BF651" s="34"/>
      <c r="BG651" s="34"/>
      <c r="BH651" s="34"/>
      <c r="BI651" s="34"/>
      <c r="BJ651" s="34"/>
      <c r="BK651" s="34"/>
      <c r="BL651" s="34"/>
      <c r="BM651" s="34"/>
      <c r="BN651" s="1406">
        <f t="shared" si="30"/>
        <v>0</v>
      </c>
      <c r="BO651" s="1407"/>
      <c r="BP651" s="1407"/>
      <c r="BQ651" s="1407"/>
      <c r="BR651" s="1408"/>
      <c r="BS651" s="1409">
        <f t="shared" si="31"/>
        <v>0</v>
      </c>
      <c r="BT651" s="1409"/>
      <c r="BU651" s="1409"/>
      <c r="BV651" s="1409"/>
      <c r="BW651" s="1409"/>
      <c r="BX651" s="1409">
        <f t="shared" si="32"/>
        <v>0</v>
      </c>
      <c r="BY651" s="1409"/>
      <c r="BZ651" s="1409"/>
      <c r="CA651" s="1409"/>
      <c r="CB651" s="1409"/>
      <c r="CC651" s="1409">
        <f t="shared" si="33"/>
        <v>0</v>
      </c>
      <c r="CD651" s="1409"/>
      <c r="CE651" s="1409"/>
      <c r="CF651" s="1409"/>
      <c r="CG651" s="1409"/>
      <c r="CH651" s="1409">
        <f t="shared" si="34"/>
        <v>0</v>
      </c>
      <c r="CI651" s="1409"/>
      <c r="CJ651" s="1409"/>
      <c r="CK651" s="1409"/>
      <c r="CL651" s="1409"/>
      <c r="CM651" s="1409">
        <f t="shared" si="35"/>
        <v>0</v>
      </c>
      <c r="CN651" s="1409"/>
      <c r="CO651" s="1409"/>
      <c r="CP651" s="1409"/>
      <c r="CQ651" s="1409"/>
      <c r="CR651" s="6"/>
      <c r="CS651" s="1406">
        <f t="shared" si="36"/>
        <v>0</v>
      </c>
      <c r="CT651" s="1407"/>
      <c r="CU651" s="1407"/>
      <c r="CV651" s="1407"/>
      <c r="CW651" s="1408"/>
      <c r="CX651" s="1406">
        <f t="shared" si="37"/>
        <v>0</v>
      </c>
      <c r="CY651" s="1407"/>
      <c r="CZ651" s="1407"/>
      <c r="DA651" s="1407"/>
      <c r="DB651" s="1408"/>
      <c r="DC651" s="1406">
        <f t="shared" si="38"/>
        <v>0</v>
      </c>
      <c r="DD651" s="1407"/>
      <c r="DE651" s="1407"/>
      <c r="DF651" s="1407"/>
      <c r="DG651" s="1408"/>
      <c r="DH651" s="1406">
        <f t="shared" si="39"/>
        <v>0</v>
      </c>
      <c r="DI651" s="1407"/>
      <c r="DJ651" s="1407"/>
      <c r="DK651" s="1407"/>
      <c r="DL651" s="1408"/>
      <c r="DM651" s="1406">
        <f t="shared" si="40"/>
        <v>0</v>
      </c>
      <c r="DN651" s="1407"/>
      <c r="DO651" s="1407"/>
      <c r="DP651" s="1407"/>
      <c r="DQ651" s="1408"/>
      <c r="DR651" s="1406">
        <f t="shared" si="41"/>
        <v>0</v>
      </c>
      <c r="DS651" s="1407"/>
      <c r="DT651" s="1407"/>
      <c r="DU651" s="1407"/>
      <c r="DV651" s="1408"/>
      <c r="DX651" s="1394" t="e">
        <f t="shared" si="29"/>
        <v>#VALUE!</v>
      </c>
      <c r="DY651" s="1394"/>
      <c r="DZ651" s="1394"/>
      <c r="EA651" s="1394"/>
      <c r="EB651" s="1394"/>
      <c r="EC651" s="1394" t="e">
        <f t="shared" si="24"/>
        <v>#VALUE!</v>
      </c>
      <c r="ED651" s="1394"/>
      <c r="EE651" s="1394"/>
      <c r="EF651" s="1394"/>
      <c r="EG651" s="1394"/>
      <c r="EH651" s="1394" t="e">
        <f t="shared" si="25"/>
        <v>#VALUE!</v>
      </c>
      <c r="EI651" s="1394"/>
      <c r="EJ651" s="1394"/>
      <c r="EK651" s="1394"/>
      <c r="EL651" s="1394"/>
      <c r="EM651" s="1394">
        <f t="shared" si="26"/>
        <v>191.02439024390245</v>
      </c>
      <c r="EN651" s="1394"/>
      <c r="EO651" s="1394"/>
      <c r="EP651" s="1394"/>
      <c r="EQ651" s="1394"/>
      <c r="ER651" s="1394" t="e">
        <f t="shared" si="27"/>
        <v>#VALUE!</v>
      </c>
      <c r="ES651" s="1394"/>
      <c r="ET651" s="1394"/>
      <c r="EU651" s="1394"/>
      <c r="EV651" s="1394"/>
      <c r="EW651" s="1394" t="e">
        <f t="shared" si="28"/>
        <v>#VALUE!</v>
      </c>
      <c r="EX651" s="1394"/>
      <c r="EY651" s="1394"/>
      <c r="EZ651" s="1394"/>
      <c r="FA651" s="1394"/>
    </row>
    <row r="652" spans="1:157" ht="12.95" customHeight="1">
      <c r="A652" s="22"/>
      <c r="B652" t="s">
        <v>85</v>
      </c>
      <c r="G652" s="1554" t="s">
        <v>2780</v>
      </c>
      <c r="H652" s="1398"/>
      <c r="I652" s="1398"/>
      <c r="J652" s="1398"/>
      <c r="K652" s="1398"/>
      <c r="L652" s="1398"/>
      <c r="M652" s="1398"/>
      <c r="N652" s="1398"/>
      <c r="O652" s="1398"/>
      <c r="P652" s="1398"/>
      <c r="Q652" s="1398"/>
      <c r="R652" s="1398"/>
      <c r="T652" s="22"/>
      <c r="U652" t="s">
        <v>85</v>
      </c>
      <c r="Z652" s="1554" t="s">
        <v>2671</v>
      </c>
      <c r="AA652" s="1398"/>
      <c r="AB652" s="1398"/>
      <c r="AC652" s="1398"/>
      <c r="AD652" s="1398"/>
      <c r="AE652" s="1398"/>
      <c r="AF652" s="1398"/>
      <c r="AG652" s="1398"/>
      <c r="AH652" s="1398"/>
      <c r="AI652" s="1398"/>
      <c r="AJ652" s="1398"/>
      <c r="AK652" s="1398"/>
      <c r="AZ652" s="34"/>
      <c r="BA652" s="34"/>
      <c r="BB652" s="34"/>
      <c r="BC652" s="34"/>
      <c r="BD652" s="34"/>
      <c r="BE652" s="34"/>
      <c r="BF652" s="34"/>
      <c r="BG652" s="34"/>
      <c r="BH652" s="34"/>
      <c r="BI652" s="34"/>
      <c r="BJ652" s="34"/>
      <c r="BK652" s="34"/>
      <c r="BL652" s="34"/>
      <c r="BM652" s="34"/>
      <c r="BN652" s="1406">
        <f t="shared" si="30"/>
        <v>0</v>
      </c>
      <c r="BO652" s="1407"/>
      <c r="BP652" s="1407"/>
      <c r="BQ652" s="1407"/>
      <c r="BR652" s="1408"/>
      <c r="BS652" s="1409">
        <f t="shared" si="31"/>
        <v>0</v>
      </c>
      <c r="BT652" s="1409"/>
      <c r="BU652" s="1409"/>
      <c r="BV652" s="1409"/>
      <c r="BW652" s="1409"/>
      <c r="BX652" s="1409">
        <f t="shared" si="32"/>
        <v>0</v>
      </c>
      <c r="BY652" s="1409"/>
      <c r="BZ652" s="1409"/>
      <c r="CA652" s="1409"/>
      <c r="CB652" s="1409"/>
      <c r="CC652" s="1409">
        <f t="shared" si="33"/>
        <v>0</v>
      </c>
      <c r="CD652" s="1409"/>
      <c r="CE652" s="1409"/>
      <c r="CF652" s="1409"/>
      <c r="CG652" s="1409"/>
      <c r="CH652" s="1409">
        <f t="shared" si="34"/>
        <v>0</v>
      </c>
      <c r="CI652" s="1409"/>
      <c r="CJ652" s="1409"/>
      <c r="CK652" s="1409"/>
      <c r="CL652" s="1409"/>
      <c r="CM652" s="1409">
        <f t="shared" si="35"/>
        <v>0</v>
      </c>
      <c r="CN652" s="1409"/>
      <c r="CO652" s="1409"/>
      <c r="CP652" s="1409"/>
      <c r="CQ652" s="1409"/>
      <c r="CR652" s="6"/>
      <c r="CS652" s="1406">
        <f t="shared" si="36"/>
        <v>0</v>
      </c>
      <c r="CT652" s="1407"/>
      <c r="CU652" s="1407"/>
      <c r="CV652" s="1407"/>
      <c r="CW652" s="1408"/>
      <c r="CX652" s="1406">
        <f t="shared" si="37"/>
        <v>0</v>
      </c>
      <c r="CY652" s="1407"/>
      <c r="CZ652" s="1407"/>
      <c r="DA652" s="1407"/>
      <c r="DB652" s="1408"/>
      <c r="DC652" s="1406">
        <f t="shared" si="38"/>
        <v>0</v>
      </c>
      <c r="DD652" s="1407"/>
      <c r="DE652" s="1407"/>
      <c r="DF652" s="1407"/>
      <c r="DG652" s="1408"/>
      <c r="DH652" s="1406">
        <f t="shared" si="39"/>
        <v>0</v>
      </c>
      <c r="DI652" s="1407"/>
      <c r="DJ652" s="1407"/>
      <c r="DK652" s="1407"/>
      <c r="DL652" s="1408"/>
      <c r="DM652" s="1406">
        <f t="shared" si="40"/>
        <v>0</v>
      </c>
      <c r="DN652" s="1407"/>
      <c r="DO652" s="1407"/>
      <c r="DP652" s="1407"/>
      <c r="DQ652" s="1408"/>
      <c r="DR652" s="1406">
        <f t="shared" si="41"/>
        <v>0</v>
      </c>
      <c r="DS652" s="1407"/>
      <c r="DT652" s="1407"/>
      <c r="DU652" s="1407"/>
      <c r="DV652" s="1408"/>
      <c r="DX652" s="1394" t="e">
        <f t="shared" si="29"/>
        <v>#VALUE!</v>
      </c>
      <c r="DY652" s="1394"/>
      <c r="DZ652" s="1394"/>
      <c r="EA652" s="1394"/>
      <c r="EB652" s="1394"/>
      <c r="EC652" s="1394" t="e">
        <f t="shared" si="24"/>
        <v>#VALUE!</v>
      </c>
      <c r="ED652" s="1394"/>
      <c r="EE652" s="1394"/>
      <c r="EF652" s="1394"/>
      <c r="EG652" s="1394"/>
      <c r="EH652" s="1394" t="e">
        <f t="shared" si="25"/>
        <v>#VALUE!</v>
      </c>
      <c r="EI652" s="1394"/>
      <c r="EJ652" s="1394"/>
      <c r="EK652" s="1394"/>
      <c r="EL652" s="1394"/>
      <c r="EM652" s="1394">
        <f t="shared" si="26"/>
        <v>917.85365853658539</v>
      </c>
      <c r="EN652" s="1394"/>
      <c r="EO652" s="1394"/>
      <c r="EP652" s="1394"/>
      <c r="EQ652" s="1394"/>
      <c r="ER652" s="1394" t="e">
        <f t="shared" si="27"/>
        <v>#VALUE!</v>
      </c>
      <c r="ES652" s="1394"/>
      <c r="ET652" s="1394"/>
      <c r="EU652" s="1394"/>
      <c r="EV652" s="1394"/>
      <c r="EW652" s="1394" t="e">
        <f t="shared" si="28"/>
        <v>#VALUE!</v>
      </c>
      <c r="EX652" s="1394"/>
      <c r="EY652" s="1394"/>
      <c r="EZ652" s="1394"/>
      <c r="FA652" s="1394"/>
    </row>
    <row r="653" spans="1:157" ht="12.95" customHeight="1">
      <c r="A653" s="22"/>
      <c r="B653" t="s">
        <v>589</v>
      </c>
      <c r="G653" s="1403" t="s">
        <v>2781</v>
      </c>
      <c r="H653" s="1404"/>
      <c r="I653" s="1404"/>
      <c r="J653" s="1404"/>
      <c r="K653" s="1404"/>
      <c r="L653" s="1404"/>
      <c r="M653" s="1404"/>
      <c r="N653" s="1404"/>
      <c r="O653" s="1404"/>
      <c r="P653" s="1404"/>
      <c r="Q653" s="1404"/>
      <c r="R653" s="1404"/>
      <c r="T653" s="22"/>
      <c r="U653" t="s">
        <v>589</v>
      </c>
      <c r="Z653" s="1403" t="s">
        <v>2672</v>
      </c>
      <c r="AA653" s="1404"/>
      <c r="AB653" s="1404"/>
      <c r="AC653" s="1404"/>
      <c r="AD653" s="1404"/>
      <c r="AE653" s="1404"/>
      <c r="AF653" s="1404"/>
      <c r="AG653" s="1404"/>
      <c r="AH653" s="1404"/>
      <c r="AI653" s="1404"/>
      <c r="AJ653" s="1404"/>
      <c r="AK653" s="1404"/>
      <c r="AZ653" s="34"/>
      <c r="BA653" s="34"/>
      <c r="BB653" s="34"/>
      <c r="BC653" s="34"/>
      <c r="BD653" s="34"/>
      <c r="BE653" s="34"/>
      <c r="BF653" s="34"/>
      <c r="BG653" s="34"/>
      <c r="BH653" s="34"/>
      <c r="BI653" s="34"/>
      <c r="BJ653" s="34"/>
      <c r="BK653" s="34"/>
      <c r="BL653" s="34"/>
      <c r="BM653" s="34"/>
      <c r="BN653" s="1406">
        <f t="shared" si="30"/>
        <v>0</v>
      </c>
      <c r="BO653" s="1407"/>
      <c r="BP653" s="1407"/>
      <c r="BQ653" s="1407"/>
      <c r="BR653" s="1408"/>
      <c r="BS653" s="1409">
        <f t="shared" si="31"/>
        <v>0</v>
      </c>
      <c r="BT653" s="1409"/>
      <c r="BU653" s="1409"/>
      <c r="BV653" s="1409"/>
      <c r="BW653" s="1409"/>
      <c r="BX653" s="1409">
        <f t="shared" si="32"/>
        <v>0</v>
      </c>
      <c r="BY653" s="1409"/>
      <c r="BZ653" s="1409"/>
      <c r="CA653" s="1409"/>
      <c r="CB653" s="1409"/>
      <c r="CC653" s="1409">
        <f t="shared" si="33"/>
        <v>0</v>
      </c>
      <c r="CD653" s="1409"/>
      <c r="CE653" s="1409"/>
      <c r="CF653" s="1409"/>
      <c r="CG653" s="1409"/>
      <c r="CH653" s="1409">
        <f t="shared" si="34"/>
        <v>0</v>
      </c>
      <c r="CI653" s="1409"/>
      <c r="CJ653" s="1409"/>
      <c r="CK653" s="1409"/>
      <c r="CL653" s="1409"/>
      <c r="CM653" s="1409">
        <f t="shared" si="35"/>
        <v>0</v>
      </c>
      <c r="CN653" s="1409"/>
      <c r="CO653" s="1409"/>
      <c r="CP653" s="1409"/>
      <c r="CQ653" s="1409"/>
      <c r="CR653" s="6"/>
      <c r="CS653" s="1406">
        <f t="shared" si="36"/>
        <v>0</v>
      </c>
      <c r="CT653" s="1407"/>
      <c r="CU653" s="1407"/>
      <c r="CV653" s="1407"/>
      <c r="CW653" s="1408"/>
      <c r="CX653" s="1406">
        <f t="shared" si="37"/>
        <v>0</v>
      </c>
      <c r="CY653" s="1407"/>
      <c r="CZ653" s="1407"/>
      <c r="DA653" s="1407"/>
      <c r="DB653" s="1408"/>
      <c r="DC653" s="1406">
        <f t="shared" si="38"/>
        <v>0</v>
      </c>
      <c r="DD653" s="1407"/>
      <c r="DE653" s="1407"/>
      <c r="DF653" s="1407"/>
      <c r="DG653" s="1408"/>
      <c r="DH653" s="1406">
        <f t="shared" si="39"/>
        <v>0</v>
      </c>
      <c r="DI653" s="1407"/>
      <c r="DJ653" s="1407"/>
      <c r="DK653" s="1407"/>
      <c r="DL653" s="1408"/>
      <c r="DM653" s="1406">
        <f t="shared" si="40"/>
        <v>0</v>
      </c>
      <c r="DN653" s="1407"/>
      <c r="DO653" s="1407"/>
      <c r="DP653" s="1407"/>
      <c r="DQ653" s="1408"/>
      <c r="DR653" s="1406">
        <f t="shared" si="41"/>
        <v>0</v>
      </c>
      <c r="DS653" s="1407"/>
      <c r="DT653" s="1407"/>
      <c r="DU653" s="1407"/>
      <c r="DV653" s="1408"/>
      <c r="DX653" s="1394" t="e">
        <f t="shared" si="29"/>
        <v>#VALUE!</v>
      </c>
      <c r="DY653" s="1394"/>
      <c r="DZ653" s="1394"/>
      <c r="EA653" s="1394"/>
      <c r="EB653" s="1394"/>
      <c r="EC653" s="1394" t="e">
        <f t="shared" si="24"/>
        <v>#VALUE!</v>
      </c>
      <c r="ED653" s="1394"/>
      <c r="EE653" s="1394"/>
      <c r="EF653" s="1394"/>
      <c r="EG653" s="1394"/>
      <c r="EH653" s="1394" t="e">
        <f t="shared" si="25"/>
        <v>#VALUE!</v>
      </c>
      <c r="EI653" s="1394"/>
      <c r="EJ653" s="1394"/>
      <c r="EK653" s="1394"/>
      <c r="EL653" s="1394"/>
      <c r="EM653" s="1394">
        <f t="shared" si="26"/>
        <v>603.65853658536582</v>
      </c>
      <c r="EN653" s="1394"/>
      <c r="EO653" s="1394"/>
      <c r="EP653" s="1394"/>
      <c r="EQ653" s="1394"/>
      <c r="ER653" s="1394" t="e">
        <f t="shared" si="27"/>
        <v>#VALUE!</v>
      </c>
      <c r="ES653" s="1394"/>
      <c r="ET653" s="1394"/>
      <c r="EU653" s="1394"/>
      <c r="EV653" s="1394"/>
      <c r="EW653" s="1394" t="e">
        <f t="shared" si="28"/>
        <v>#VALUE!</v>
      </c>
      <c r="EX653" s="1394"/>
      <c r="EY653" s="1394"/>
      <c r="EZ653" s="1394"/>
      <c r="FA653" s="1394"/>
    </row>
    <row r="654" spans="1:157" ht="12.95" customHeight="1">
      <c r="A654" s="22"/>
      <c r="B654" t="s">
        <v>17</v>
      </c>
      <c r="G654" s="1403" t="s">
        <v>2771</v>
      </c>
      <c r="H654" s="1404"/>
      <c r="I654" s="1404"/>
      <c r="J654" s="1404"/>
      <c r="K654" s="1404"/>
      <c r="L654" s="1404"/>
      <c r="M654" s="1404"/>
      <c r="N654" s="1404"/>
      <c r="O654" s="1404"/>
      <c r="P654" s="1404"/>
      <c r="Q654" s="1404"/>
      <c r="R654" s="1404"/>
      <c r="T654" s="22"/>
      <c r="U654" t="s">
        <v>17</v>
      </c>
      <c r="Z654" s="1403" t="s">
        <v>2673</v>
      </c>
      <c r="AA654" s="1404"/>
      <c r="AB654" s="1404"/>
      <c r="AC654" s="1404"/>
      <c r="AD654" s="1404"/>
      <c r="AE654" s="1404"/>
      <c r="AF654" s="1404"/>
      <c r="AG654" s="1404"/>
      <c r="AH654" s="1404"/>
      <c r="AI654" s="1404"/>
      <c r="AJ654" s="1404"/>
      <c r="AK654" s="1404"/>
      <c r="AZ654" s="34"/>
      <c r="BA654" s="34"/>
      <c r="BB654" s="34"/>
      <c r="BC654" s="34"/>
      <c r="BD654" s="34"/>
      <c r="BE654" s="34"/>
      <c r="BF654" s="34"/>
      <c r="BG654" s="34"/>
      <c r="BH654" s="34"/>
      <c r="BI654" s="34"/>
      <c r="BJ654" s="34"/>
      <c r="BK654" s="34"/>
      <c r="BL654" s="34"/>
      <c r="BM654" s="34"/>
      <c r="BN654" s="1406">
        <f t="shared" si="30"/>
        <v>0</v>
      </c>
      <c r="BO654" s="1407"/>
      <c r="BP654" s="1407"/>
      <c r="BQ654" s="1407"/>
      <c r="BR654" s="1408"/>
      <c r="BS654" s="1409">
        <f t="shared" si="31"/>
        <v>0</v>
      </c>
      <c r="BT654" s="1409"/>
      <c r="BU654" s="1409"/>
      <c r="BV654" s="1409"/>
      <c r="BW654" s="1409"/>
      <c r="BX654" s="1409">
        <f t="shared" si="32"/>
        <v>0</v>
      </c>
      <c r="BY654" s="1409"/>
      <c r="BZ654" s="1409"/>
      <c r="CA654" s="1409"/>
      <c r="CB654" s="1409"/>
      <c r="CC654" s="1409">
        <f t="shared" si="33"/>
        <v>0</v>
      </c>
      <c r="CD654" s="1409"/>
      <c r="CE654" s="1409"/>
      <c r="CF654" s="1409"/>
      <c r="CG654" s="1409"/>
      <c r="CH654" s="1409">
        <f t="shared" si="34"/>
        <v>0</v>
      </c>
      <c r="CI654" s="1409"/>
      <c r="CJ654" s="1409"/>
      <c r="CK654" s="1409"/>
      <c r="CL654" s="1409"/>
      <c r="CM654" s="1409">
        <f t="shared" si="35"/>
        <v>0</v>
      </c>
      <c r="CN654" s="1409"/>
      <c r="CO654" s="1409"/>
      <c r="CP654" s="1409"/>
      <c r="CQ654" s="1409"/>
      <c r="CR654" s="6"/>
      <c r="CS654" s="1406">
        <f t="shared" si="36"/>
        <v>0</v>
      </c>
      <c r="CT654" s="1407"/>
      <c r="CU654" s="1407"/>
      <c r="CV654" s="1407"/>
      <c r="CW654" s="1408"/>
      <c r="CX654" s="1406">
        <f t="shared" si="37"/>
        <v>0</v>
      </c>
      <c r="CY654" s="1407"/>
      <c r="CZ654" s="1407"/>
      <c r="DA654" s="1407"/>
      <c r="DB654" s="1408"/>
      <c r="DC654" s="1406">
        <f t="shared" si="38"/>
        <v>0</v>
      </c>
      <c r="DD654" s="1407"/>
      <c r="DE654" s="1407"/>
      <c r="DF654" s="1407"/>
      <c r="DG654" s="1408"/>
      <c r="DH654" s="1406">
        <f t="shared" si="39"/>
        <v>0</v>
      </c>
      <c r="DI654" s="1407"/>
      <c r="DJ654" s="1407"/>
      <c r="DK654" s="1407"/>
      <c r="DL654" s="1408"/>
      <c r="DM654" s="1406">
        <f t="shared" si="40"/>
        <v>0</v>
      </c>
      <c r="DN654" s="1407"/>
      <c r="DO654" s="1407"/>
      <c r="DP654" s="1407"/>
      <c r="DQ654" s="1408"/>
      <c r="DR654" s="1406">
        <f t="shared" si="41"/>
        <v>0</v>
      </c>
      <c r="DS654" s="1407"/>
      <c r="DT654" s="1407"/>
      <c r="DU654" s="1407"/>
      <c r="DV654" s="1408"/>
      <c r="DX654" s="1394" t="e">
        <f t="shared" si="29"/>
        <v>#VALUE!</v>
      </c>
      <c r="DY654" s="1394"/>
      <c r="DZ654" s="1394"/>
      <c r="EA654" s="1394"/>
      <c r="EB654" s="1394"/>
      <c r="EC654" s="1394" t="e">
        <f t="shared" si="24"/>
        <v>#VALUE!</v>
      </c>
      <c r="ED654" s="1394"/>
      <c r="EE654" s="1394"/>
      <c r="EF654" s="1394"/>
      <c r="EG654" s="1394"/>
      <c r="EH654" s="1394" t="e">
        <f t="shared" si="25"/>
        <v>#VALUE!</v>
      </c>
      <c r="EI654" s="1394"/>
      <c r="EJ654" s="1394"/>
      <c r="EK654" s="1394"/>
      <c r="EL654" s="1394"/>
      <c r="EM654" s="1394" t="e">
        <f t="shared" si="26"/>
        <v>#VALUE!</v>
      </c>
      <c r="EN654" s="1394"/>
      <c r="EO654" s="1394"/>
      <c r="EP654" s="1394"/>
      <c r="EQ654" s="1394"/>
      <c r="ER654" s="1394" t="e">
        <f t="shared" si="27"/>
        <v>#VALUE!</v>
      </c>
      <c r="ES654" s="1394"/>
      <c r="ET654" s="1394"/>
      <c r="EU654" s="1394"/>
      <c r="EV654" s="1394"/>
      <c r="EW654" s="1394" t="e">
        <f t="shared" si="28"/>
        <v>#VALUE!</v>
      </c>
      <c r="EX654" s="1394"/>
      <c r="EY654" s="1394"/>
      <c r="EZ654" s="1394"/>
      <c r="FA654" s="1394"/>
    </row>
    <row r="655" spans="1:157" ht="12.95" customHeight="1">
      <c r="A655" s="22"/>
      <c r="B655" t="s">
        <v>317</v>
      </c>
      <c r="G655" s="1510" t="s">
        <v>2782</v>
      </c>
      <c r="H655" s="1491"/>
      <c r="I655" s="1491"/>
      <c r="J655" s="1491"/>
      <c r="K655" s="1491"/>
      <c r="L655" s="1491"/>
      <c r="O655" s="33" t="s">
        <v>207</v>
      </c>
      <c r="P655" s="1403" t="s">
        <v>600</v>
      </c>
      <c r="Q655" s="1402"/>
      <c r="R655" s="1402"/>
      <c r="T655" s="22"/>
      <c r="U655" t="s">
        <v>317</v>
      </c>
      <c r="Z655" s="1510" t="s">
        <v>2755</v>
      </c>
      <c r="AA655" s="1491"/>
      <c r="AB655" s="1491"/>
      <c r="AC655" s="1491"/>
      <c r="AD655" s="1491"/>
      <c r="AE655" s="1491"/>
      <c r="AH655" s="33" t="s">
        <v>207</v>
      </c>
      <c r="AI655" s="1402"/>
      <c r="AJ655" s="1402"/>
      <c r="AK655" s="1402"/>
      <c r="AZ655" s="34"/>
      <c r="BA655" s="34"/>
      <c r="BB655" s="34"/>
      <c r="BC655" s="34"/>
      <c r="BD655" s="34"/>
      <c r="BE655" s="34"/>
      <c r="BF655" s="34"/>
      <c r="BG655" s="34"/>
      <c r="BH655" s="34"/>
      <c r="BI655" s="34"/>
      <c r="BJ655" s="34"/>
      <c r="BK655" s="34"/>
      <c r="BL655" s="34"/>
      <c r="BM655" s="34"/>
      <c r="BN655" s="1414">
        <f>SUM(BN645:BR654)</f>
        <v>0</v>
      </c>
      <c r="BO655" s="1537"/>
      <c r="BP655" s="1537"/>
      <c r="BQ655" s="1537"/>
      <c r="BR655" s="1415"/>
      <c r="BS655" s="1697">
        <f>SUM(BS645:BW654)</f>
        <v>0</v>
      </c>
      <c r="BT655" s="1698"/>
      <c r="BU655" s="1698"/>
      <c r="BV655" s="1698"/>
      <c r="BW655" s="1699"/>
      <c r="BX655" s="1697">
        <f>SUM(BX645:CB654)</f>
        <v>0</v>
      </c>
      <c r="BY655" s="1698"/>
      <c r="BZ655" s="1698"/>
      <c r="CA655" s="1698"/>
      <c r="CB655" s="1699"/>
      <c r="CC655" s="1697">
        <f>SUM(CC645:CG654)</f>
        <v>0</v>
      </c>
      <c r="CD655" s="1698"/>
      <c r="CE655" s="1698"/>
      <c r="CF655" s="1698"/>
      <c r="CG655" s="1699"/>
      <c r="CH655" s="1697">
        <f>SUM(CH645:CL654)</f>
        <v>0</v>
      </c>
      <c r="CI655" s="1698"/>
      <c r="CJ655" s="1698"/>
      <c r="CK655" s="1698"/>
      <c r="CL655" s="1699"/>
      <c r="CM655" s="1697">
        <f>SUM(CM645:CQ654)</f>
        <v>0</v>
      </c>
      <c r="CN655" s="1698"/>
      <c r="CO655" s="1698"/>
      <c r="CP655" s="1698"/>
      <c r="CQ655" s="1699"/>
      <c r="CR655" s="1047"/>
      <c r="CS655" s="1748">
        <f>SUM(CS645:CW654)</f>
        <v>0</v>
      </c>
      <c r="CT655" s="1748"/>
      <c r="CU655" s="1748"/>
      <c r="CV655" s="1748"/>
      <c r="CW655" s="1748"/>
      <c r="CX655" s="1748">
        <f>SUM(CX645:DB654)</f>
        <v>0</v>
      </c>
      <c r="CY655" s="1748"/>
      <c r="CZ655" s="1748"/>
      <c r="DA655" s="1748"/>
      <c r="DB655" s="1748"/>
      <c r="DC655" s="1748">
        <f>SUM(DC645:DG654)</f>
        <v>0</v>
      </c>
      <c r="DD655" s="1748"/>
      <c r="DE655" s="1748"/>
      <c r="DF655" s="1748"/>
      <c r="DG655" s="1748"/>
      <c r="DH655" s="1748">
        <f>SUM(DH645:DL654)</f>
        <v>0</v>
      </c>
      <c r="DI655" s="1748"/>
      <c r="DJ655" s="1748"/>
      <c r="DK655" s="1748"/>
      <c r="DL655" s="1748"/>
      <c r="DM655" s="1748">
        <f>SUM(DM645:DQ654)</f>
        <v>0</v>
      </c>
      <c r="DN655" s="1748"/>
      <c r="DO655" s="1748"/>
      <c r="DP655" s="1748"/>
      <c r="DQ655" s="1748"/>
      <c r="DR655" s="1748">
        <f>SUM(DR645:DV654)</f>
        <v>0</v>
      </c>
      <c r="DS655" s="1748"/>
      <c r="DT655" s="1748"/>
      <c r="DU655" s="1748"/>
      <c r="DV655" s="1748"/>
      <c r="DX655" s="1394" t="e">
        <f t="shared" si="29"/>
        <v>#VALUE!</v>
      </c>
      <c r="DY655" s="1394"/>
      <c r="DZ655" s="1394"/>
      <c r="EA655" s="1394"/>
      <c r="EB655" s="1394"/>
      <c r="EC655" s="1394" t="e">
        <f t="shared" si="24"/>
        <v>#VALUE!</v>
      </c>
      <c r="ED655" s="1394"/>
      <c r="EE655" s="1394"/>
      <c r="EF655" s="1394"/>
      <c r="EG655" s="1394"/>
      <c r="EH655" s="1394" t="e">
        <f t="shared" si="25"/>
        <v>#VALUE!</v>
      </c>
      <c r="EI655" s="1394"/>
      <c r="EJ655" s="1394"/>
      <c r="EK655" s="1394"/>
      <c r="EL655" s="1394"/>
      <c r="EM655" s="1394" t="e">
        <f t="shared" si="26"/>
        <v>#VALUE!</v>
      </c>
      <c r="EN655" s="1394"/>
      <c r="EO655" s="1394"/>
      <c r="EP655" s="1394"/>
      <c r="EQ655" s="1394"/>
      <c r="ER655" s="1394" t="e">
        <f t="shared" si="27"/>
        <v>#VALUE!</v>
      </c>
      <c r="ES655" s="1394"/>
      <c r="ET655" s="1394"/>
      <c r="EU655" s="1394"/>
      <c r="EV655" s="1394"/>
      <c r="EW655" s="1394" t="e">
        <f t="shared" si="28"/>
        <v>#VALUE!</v>
      </c>
      <c r="EX655" s="1394"/>
      <c r="EY655" s="1394"/>
      <c r="EZ655" s="1394"/>
      <c r="FA655" s="1394"/>
    </row>
    <row r="656" spans="1:157" ht="12.95" customHeight="1">
      <c r="A656" s="22"/>
      <c r="B656" t="s">
        <v>18</v>
      </c>
      <c r="H656" s="1554" t="s">
        <v>2756</v>
      </c>
      <c r="I656" s="1398"/>
      <c r="J656" s="1398"/>
      <c r="K656" s="1398"/>
      <c r="L656" s="1398"/>
      <c r="M656" s="1398"/>
      <c r="N656" s="1398"/>
      <c r="O656" s="1398"/>
      <c r="P656" s="1398"/>
      <c r="Q656" s="1398"/>
      <c r="R656" s="1398"/>
      <c r="T656" s="22"/>
      <c r="U656" t="s">
        <v>18</v>
      </c>
      <c r="AA656" s="1554" t="s">
        <v>1851</v>
      </c>
      <c r="AB656" s="1398"/>
      <c r="AC656" s="1398"/>
      <c r="AD656" s="1398"/>
      <c r="AE656" s="1398"/>
      <c r="AF656" s="1398"/>
      <c r="AG656" s="1398"/>
      <c r="AH656" s="1398"/>
      <c r="AI656" s="1398"/>
      <c r="AJ656" s="1398"/>
      <c r="AK656" s="1398"/>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94" t="e">
        <f t="shared" si="29"/>
        <v>#VALUE!</v>
      </c>
      <c r="DY656" s="1394"/>
      <c r="DZ656" s="1394"/>
      <c r="EA656" s="1394"/>
      <c r="EB656" s="1394"/>
      <c r="EC656" s="1394" t="e">
        <f t="shared" si="24"/>
        <v>#VALUE!</v>
      </c>
      <c r="ED656" s="1394"/>
      <c r="EE656" s="1394"/>
      <c r="EF656" s="1394"/>
      <c r="EG656" s="1394"/>
      <c r="EH656" s="1394" t="e">
        <f t="shared" si="25"/>
        <v>#VALUE!</v>
      </c>
      <c r="EI656" s="1394"/>
      <c r="EJ656" s="1394"/>
      <c r="EK656" s="1394"/>
      <c r="EL656" s="1394"/>
      <c r="EM656" s="1394" t="e">
        <f t="shared" si="26"/>
        <v>#VALUE!</v>
      </c>
      <c r="EN656" s="1394"/>
      <c r="EO656" s="1394"/>
      <c r="EP656" s="1394"/>
      <c r="EQ656" s="1394"/>
      <c r="ER656" s="1394" t="e">
        <f t="shared" si="27"/>
        <v>#VALUE!</v>
      </c>
      <c r="ES656" s="1394"/>
      <c r="ET656" s="1394"/>
      <c r="EU656" s="1394"/>
      <c r="EV656" s="1394"/>
      <c r="EW656" s="1394" t="e">
        <f t="shared" si="28"/>
        <v>#VALUE!</v>
      </c>
      <c r="EX656" s="1394"/>
      <c r="EY656" s="1394"/>
      <c r="EZ656" s="1394"/>
      <c r="FA656" s="1394"/>
    </row>
    <row r="657" spans="1:157" ht="12.95" customHeight="1">
      <c r="A657" s="22"/>
      <c r="B657" t="s">
        <v>20</v>
      </c>
      <c r="N657" s="1494" t="s">
        <v>554</v>
      </c>
      <c r="O657" s="1494"/>
      <c r="T657" s="22"/>
      <c r="U657" t="s">
        <v>20</v>
      </c>
      <c r="AG657" s="1494" t="s">
        <v>554</v>
      </c>
      <c r="AH657" s="1494"/>
      <c r="AZ657" s="34"/>
      <c r="BA657" s="34"/>
      <c r="BB657" s="34"/>
      <c r="BC657" s="34"/>
      <c r="BD657" s="34"/>
      <c r="BE657" s="34"/>
      <c r="BF657" s="34"/>
      <c r="BG657" s="34"/>
      <c r="BH657" s="34"/>
      <c r="BI657" s="34"/>
      <c r="BJ657" s="34"/>
      <c r="BK657" s="34"/>
      <c r="BL657" s="34"/>
      <c r="BM657" s="34"/>
      <c r="CR657" s="3"/>
      <c r="CS657" s="895">
        <f>BN655+BS655+BX655+CC655+CH655+CM655</f>
        <v>0</v>
      </c>
      <c r="CT657" s="57" t="s">
        <v>2050</v>
      </c>
      <c r="CU657" s="3"/>
      <c r="CV657" s="3"/>
      <c r="CW657" s="3"/>
      <c r="CX657" s="3"/>
      <c r="CY657" s="3"/>
      <c r="CZ657" s="3"/>
      <c r="DA657" s="3"/>
      <c r="DB657" s="3"/>
      <c r="DC657" s="3"/>
      <c r="DD657" s="3"/>
      <c r="DE657" s="3"/>
      <c r="DF657" s="3"/>
      <c r="DQ657" s="56" t="s">
        <v>2059</v>
      </c>
      <c r="DR657" s="1394">
        <f>SUM(CS655:DV655)</f>
        <v>0</v>
      </c>
      <c r="DS657" s="1394"/>
      <c r="DT657" s="1394"/>
      <c r="DU657" s="1394"/>
      <c r="DV657" s="1394"/>
      <c r="DX657" s="1394" t="e">
        <f t="shared" si="29"/>
        <v>#VALUE!</v>
      </c>
      <c r="DY657" s="1394"/>
      <c r="DZ657" s="1394"/>
      <c r="EA657" s="1394"/>
      <c r="EB657" s="1394"/>
      <c r="EC657" s="1394" t="e">
        <f t="shared" si="24"/>
        <v>#VALUE!</v>
      </c>
      <c r="ED657" s="1394"/>
      <c r="EE657" s="1394"/>
      <c r="EF657" s="1394"/>
      <c r="EG657" s="1394"/>
      <c r="EH657" s="1394" t="e">
        <f t="shared" si="25"/>
        <v>#VALUE!</v>
      </c>
      <c r="EI657" s="1394"/>
      <c r="EJ657" s="1394"/>
      <c r="EK657" s="1394"/>
      <c r="EL657" s="1394"/>
      <c r="EM657" s="1394" t="e">
        <f t="shared" si="26"/>
        <v>#VALUE!</v>
      </c>
      <c r="EN657" s="1394"/>
      <c r="EO657" s="1394"/>
      <c r="EP657" s="1394"/>
      <c r="EQ657" s="1394"/>
      <c r="ER657" s="1394" t="e">
        <f t="shared" si="27"/>
        <v>#VALUE!</v>
      </c>
      <c r="ES657" s="1394"/>
      <c r="ET657" s="1394"/>
      <c r="EU657" s="1394"/>
      <c r="EV657" s="1394"/>
      <c r="EW657" s="1394" t="e">
        <f t="shared" si="28"/>
        <v>#VALUE!</v>
      </c>
      <c r="EX657" s="1394"/>
      <c r="EY657" s="1394"/>
      <c r="EZ657" s="1394"/>
      <c r="FA657" s="1394"/>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1743</v>
      </c>
      <c r="CU658" s="3"/>
      <c r="CV658" s="3"/>
      <c r="CW658" s="3"/>
      <c r="CX658" s="3"/>
      <c r="CY658" s="3"/>
      <c r="CZ658" s="3"/>
      <c r="DA658" s="3"/>
      <c r="DB658" s="3"/>
      <c r="DC658" s="3"/>
      <c r="DD658" s="3"/>
      <c r="DE658" s="3"/>
      <c r="DF658" s="3"/>
      <c r="DX658" s="1394" t="e">
        <f t="shared" ref="DX658:DX667" si="42">DX620*(BN620/$BN$632)</f>
        <v>#VALUE!</v>
      </c>
      <c r="DY658" s="1394"/>
      <c r="DZ658" s="1394"/>
      <c r="EA658" s="1394"/>
      <c r="EB658" s="1394"/>
      <c r="EC658" s="1394" t="e">
        <f t="shared" ref="EC658:EC667" si="43">EC620*(BS620/$BS$632)</f>
        <v>#VALUE!</v>
      </c>
      <c r="ED658" s="1394"/>
      <c r="EE658" s="1394"/>
      <c r="EF658" s="1394"/>
      <c r="EG658" s="1394"/>
      <c r="EH658" s="1394" t="e">
        <f t="shared" ref="EH658:EH667" si="44">EH620*(BX620/$BX$632)</f>
        <v>#VALUE!</v>
      </c>
      <c r="EI658" s="1394"/>
      <c r="EJ658" s="1394"/>
      <c r="EK658" s="1394"/>
      <c r="EL658" s="1394"/>
      <c r="EM658" s="1394" t="e">
        <f t="shared" ref="EM658:EM667" si="45">EM620*(CC620/$CC$632)</f>
        <v>#VALUE!</v>
      </c>
      <c r="EN658" s="1394"/>
      <c r="EO658" s="1394"/>
      <c r="EP658" s="1394"/>
      <c r="EQ658" s="1394"/>
      <c r="ER658" s="1394" t="e">
        <f t="shared" ref="ER658:ER667" si="46">ER620*(CH620/$CH$632)</f>
        <v>#VALUE!</v>
      </c>
      <c r="ES658" s="1394"/>
      <c r="ET658" s="1394"/>
      <c r="EU658" s="1394"/>
      <c r="EV658" s="1394"/>
      <c r="EW658" s="1394" t="e">
        <f t="shared" ref="EW658:EW667" si="47">EW620*(CM620/$CM$632)</f>
        <v>#VALUE!</v>
      </c>
      <c r="EX658" s="1394"/>
      <c r="EY658" s="1394"/>
      <c r="EZ658" s="1394"/>
      <c r="FA658" s="1394"/>
    </row>
    <row r="659" spans="1:157" ht="12.95" customHeight="1">
      <c r="A659" s="55" t="s">
        <v>773</v>
      </c>
      <c r="B659" t="s">
        <v>472</v>
      </c>
      <c r="G659" s="1536">
        <f>C631</f>
        <v>0</v>
      </c>
      <c r="H659" s="1536"/>
      <c r="I659" s="1536"/>
      <c r="J659" s="1536"/>
      <c r="K659" s="1536"/>
      <c r="L659" s="1536"/>
      <c r="M659" s="1536"/>
      <c r="N659" s="1536"/>
      <c r="O659" s="1536"/>
      <c r="P659" s="1536"/>
      <c r="Q659" s="1536"/>
      <c r="R659" s="1536"/>
      <c r="T659" s="55" t="s">
        <v>593</v>
      </c>
      <c r="U659" t="s">
        <v>472</v>
      </c>
      <c r="Z659" s="1536">
        <f>C632</f>
        <v>0</v>
      </c>
      <c r="AA659" s="1536"/>
      <c r="AB659" s="1536"/>
      <c r="AC659" s="1536"/>
      <c r="AD659" s="1536"/>
      <c r="AE659" s="1536"/>
      <c r="AF659" s="1536"/>
      <c r="AG659" s="1536"/>
      <c r="AH659" s="1536"/>
      <c r="AI659" s="1536"/>
      <c r="AJ659" s="1536"/>
      <c r="AK659" s="1536"/>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94" t="e">
        <f t="shared" si="42"/>
        <v>#VALUE!</v>
      </c>
      <c r="DY659" s="1394"/>
      <c r="DZ659" s="1394"/>
      <c r="EA659" s="1394"/>
      <c r="EB659" s="1394"/>
      <c r="EC659" s="1394" t="e">
        <f t="shared" si="43"/>
        <v>#VALUE!</v>
      </c>
      <c r="ED659" s="1394"/>
      <c r="EE659" s="1394"/>
      <c r="EF659" s="1394"/>
      <c r="EG659" s="1394"/>
      <c r="EH659" s="1394" t="e">
        <f t="shared" si="44"/>
        <v>#VALUE!</v>
      </c>
      <c r="EI659" s="1394"/>
      <c r="EJ659" s="1394"/>
      <c r="EK659" s="1394"/>
      <c r="EL659" s="1394"/>
      <c r="EM659" s="1394" t="e">
        <f t="shared" si="45"/>
        <v>#VALUE!</v>
      </c>
      <c r="EN659" s="1394"/>
      <c r="EO659" s="1394"/>
      <c r="EP659" s="1394"/>
      <c r="EQ659" s="1394"/>
      <c r="ER659" s="1394" t="e">
        <f t="shared" si="46"/>
        <v>#VALUE!</v>
      </c>
      <c r="ES659" s="1394"/>
      <c r="ET659" s="1394"/>
      <c r="EU659" s="1394"/>
      <c r="EV659" s="1394"/>
      <c r="EW659" s="1394" t="e">
        <f t="shared" si="47"/>
        <v>#VALUE!</v>
      </c>
      <c r="EX659" s="1394"/>
      <c r="EY659" s="1394"/>
      <c r="EZ659" s="1394"/>
      <c r="FA659" s="1394"/>
    </row>
    <row r="660" spans="1:157" ht="12.95" customHeight="1">
      <c r="A660" s="22"/>
      <c r="B660" t="s">
        <v>85</v>
      </c>
      <c r="G660" s="1398"/>
      <c r="H660" s="1398"/>
      <c r="I660" s="1398"/>
      <c r="J660" s="1398"/>
      <c r="K660" s="1398"/>
      <c r="L660" s="1398"/>
      <c r="M660" s="1398"/>
      <c r="N660" s="1398"/>
      <c r="O660" s="1398"/>
      <c r="P660" s="1398"/>
      <c r="Q660" s="1398"/>
      <c r="R660" s="1398"/>
      <c r="T660" s="22"/>
      <c r="U660" t="s">
        <v>85</v>
      </c>
      <c r="Z660" s="1398"/>
      <c r="AA660" s="1398"/>
      <c r="AB660" s="1398"/>
      <c r="AC660" s="1398"/>
      <c r="AD660" s="1398"/>
      <c r="AE660" s="1398"/>
      <c r="AF660" s="1398"/>
      <c r="AG660" s="1398"/>
      <c r="AH660" s="1398"/>
      <c r="AI660" s="1398"/>
      <c r="AJ660" s="1398"/>
      <c r="AK660" s="1398"/>
      <c r="AZ660" s="34"/>
      <c r="BA660" s="34"/>
      <c r="BB660" s="34"/>
      <c r="BC660" s="34"/>
      <c r="BD660" s="34"/>
      <c r="BE660" s="34"/>
      <c r="BF660" s="34"/>
      <c r="BG660" s="34"/>
      <c r="BH660" s="34"/>
      <c r="BI660" s="34"/>
      <c r="BJ660" s="34"/>
      <c r="BK660" s="34"/>
      <c r="BL660" s="34"/>
      <c r="BM660" s="34"/>
      <c r="BN660" s="1697">
        <f>BN632+BN641+BN655</f>
        <v>24</v>
      </c>
      <c r="BO660" s="1698"/>
      <c r="BP660" s="1698"/>
      <c r="BQ660" s="1698"/>
      <c r="BR660" s="1699"/>
      <c r="BS660" s="1697">
        <f>BS632+BS641+BS655</f>
        <v>38</v>
      </c>
      <c r="BT660" s="1698"/>
      <c r="BU660" s="1698"/>
      <c r="BV660" s="1698"/>
      <c r="BW660" s="1699"/>
      <c r="BX660" s="1697">
        <f>BX632+BX641+BX655</f>
        <v>43</v>
      </c>
      <c r="BY660" s="1698"/>
      <c r="BZ660" s="1698"/>
      <c r="CA660" s="1698"/>
      <c r="CB660" s="1699"/>
      <c r="CC660" s="1697">
        <f>CC632+CC641+CC655</f>
        <v>42</v>
      </c>
      <c r="CD660" s="1698"/>
      <c r="CE660" s="1698"/>
      <c r="CF660" s="1698"/>
      <c r="CG660" s="1699"/>
      <c r="CH660" s="1697">
        <f>CH632+CH641+CH655</f>
        <v>0</v>
      </c>
      <c r="CI660" s="1698"/>
      <c r="CJ660" s="1698"/>
      <c r="CK660" s="1698"/>
      <c r="CL660" s="1699"/>
      <c r="CM660" s="1395">
        <f>CM655+CM641+CM632</f>
        <v>0</v>
      </c>
      <c r="CN660" s="1396"/>
      <c r="CO660" s="1396"/>
      <c r="CP660" s="1396"/>
      <c r="CQ660" s="1397"/>
      <c r="CR660" s="3"/>
      <c r="CS660" s="895">
        <f>CS634+CS658</f>
        <v>269</v>
      </c>
      <c r="CT660" s="57" t="s">
        <v>2055</v>
      </c>
      <c r="CU660" s="3"/>
      <c r="CV660" s="3"/>
      <c r="CW660" s="3"/>
      <c r="CX660" s="3"/>
      <c r="CY660" s="3"/>
      <c r="CZ660" s="3"/>
      <c r="DA660" s="3"/>
      <c r="DB660" s="3"/>
      <c r="DC660" s="3"/>
      <c r="DD660" s="3"/>
      <c r="DE660" s="3"/>
      <c r="DF660" s="3"/>
      <c r="DX660" s="1394" t="e">
        <f t="shared" si="42"/>
        <v>#VALUE!</v>
      </c>
      <c r="DY660" s="1394"/>
      <c r="DZ660" s="1394"/>
      <c r="EA660" s="1394"/>
      <c r="EB660" s="1394"/>
      <c r="EC660" s="1394" t="e">
        <f t="shared" si="43"/>
        <v>#VALUE!</v>
      </c>
      <c r="ED660" s="1394"/>
      <c r="EE660" s="1394"/>
      <c r="EF660" s="1394"/>
      <c r="EG660" s="1394"/>
      <c r="EH660" s="1394" t="e">
        <f t="shared" si="44"/>
        <v>#VALUE!</v>
      </c>
      <c r="EI660" s="1394"/>
      <c r="EJ660" s="1394"/>
      <c r="EK660" s="1394"/>
      <c r="EL660" s="1394"/>
      <c r="EM660" s="1394" t="e">
        <f t="shared" si="45"/>
        <v>#VALUE!</v>
      </c>
      <c r="EN660" s="1394"/>
      <c r="EO660" s="1394"/>
      <c r="EP660" s="1394"/>
      <c r="EQ660" s="1394"/>
      <c r="ER660" s="1394" t="e">
        <f t="shared" si="46"/>
        <v>#VALUE!</v>
      </c>
      <c r="ES660" s="1394"/>
      <c r="ET660" s="1394"/>
      <c r="EU660" s="1394"/>
      <c r="EV660" s="1394"/>
      <c r="EW660" s="1394" t="e">
        <f t="shared" si="47"/>
        <v>#VALUE!</v>
      </c>
      <c r="EX660" s="1394"/>
      <c r="EY660" s="1394"/>
      <c r="EZ660" s="1394"/>
      <c r="FA660" s="1394"/>
    </row>
    <row r="661" spans="1:157" ht="12.95" customHeight="1">
      <c r="A661" s="22"/>
      <c r="B661" t="s">
        <v>589</v>
      </c>
      <c r="G661" s="1398"/>
      <c r="H661" s="1398"/>
      <c r="I661" s="1398"/>
      <c r="J661" s="1398"/>
      <c r="K661" s="1398"/>
      <c r="L661" s="1398"/>
      <c r="M661" s="1398"/>
      <c r="N661" s="1398"/>
      <c r="O661" s="1398"/>
      <c r="P661" s="1398"/>
      <c r="Q661" s="1398"/>
      <c r="R661" s="1398"/>
      <c r="T661" s="22"/>
      <c r="U661" t="s">
        <v>589</v>
      </c>
      <c r="Z661" s="1404"/>
      <c r="AA661" s="1404"/>
      <c r="AB661" s="1404"/>
      <c r="AC661" s="1404"/>
      <c r="AD661" s="1404"/>
      <c r="AE661" s="1404"/>
      <c r="AF661" s="1404"/>
      <c r="AG661" s="1404"/>
      <c r="AH661" s="1404"/>
      <c r="AI661" s="1404"/>
      <c r="AJ661" s="1404"/>
      <c r="AK661" s="1404"/>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94" t="e">
        <f t="shared" si="42"/>
        <v>#VALUE!</v>
      </c>
      <c r="DY661" s="1394"/>
      <c r="DZ661" s="1394"/>
      <c r="EA661" s="1394"/>
      <c r="EB661" s="1394"/>
      <c r="EC661" s="1394" t="e">
        <f t="shared" si="43"/>
        <v>#VALUE!</v>
      </c>
      <c r="ED661" s="1394"/>
      <c r="EE661" s="1394"/>
      <c r="EF661" s="1394"/>
      <c r="EG661" s="1394"/>
      <c r="EH661" s="1394" t="e">
        <f t="shared" si="44"/>
        <v>#VALUE!</v>
      </c>
      <c r="EI661" s="1394"/>
      <c r="EJ661" s="1394"/>
      <c r="EK661" s="1394"/>
      <c r="EL661" s="1394"/>
      <c r="EM661" s="1394" t="e">
        <f t="shared" si="45"/>
        <v>#VALUE!</v>
      </c>
      <c r="EN661" s="1394"/>
      <c r="EO661" s="1394"/>
      <c r="EP661" s="1394"/>
      <c r="EQ661" s="1394"/>
      <c r="ER661" s="1394" t="e">
        <f t="shared" si="46"/>
        <v>#VALUE!</v>
      </c>
      <c r="ES661" s="1394"/>
      <c r="ET661" s="1394"/>
      <c r="EU661" s="1394"/>
      <c r="EV661" s="1394"/>
      <c r="EW661" s="1394" t="e">
        <f t="shared" si="47"/>
        <v>#VALUE!</v>
      </c>
      <c r="EX661" s="1394"/>
      <c r="EY661" s="1394"/>
      <c r="EZ661" s="1394"/>
      <c r="FA661" s="1394"/>
    </row>
    <row r="662" spans="1:157" ht="12.95" customHeight="1">
      <c r="A662" s="22"/>
      <c r="B662" t="s">
        <v>17</v>
      </c>
      <c r="G662" s="1398"/>
      <c r="H662" s="1398"/>
      <c r="I662" s="1398"/>
      <c r="J662" s="1398"/>
      <c r="K662" s="1398"/>
      <c r="L662" s="1398"/>
      <c r="M662" s="1398"/>
      <c r="N662" s="1398"/>
      <c r="O662" s="1398"/>
      <c r="P662" s="1398"/>
      <c r="Q662" s="1398"/>
      <c r="R662" s="1398"/>
      <c r="T662" s="22"/>
      <c r="U662" t="s">
        <v>17</v>
      </c>
      <c r="Z662" s="1404"/>
      <c r="AA662" s="1404"/>
      <c r="AB662" s="1404"/>
      <c r="AC662" s="1404"/>
      <c r="AD662" s="1404"/>
      <c r="AE662" s="1404"/>
      <c r="AF662" s="1404"/>
      <c r="AG662" s="1404"/>
      <c r="AH662" s="1404"/>
      <c r="AI662" s="1404"/>
      <c r="AJ662" s="1404"/>
      <c r="AK662" s="1404"/>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94" t="e">
        <f t="shared" si="42"/>
        <v>#VALUE!</v>
      </c>
      <c r="DY662" s="1394"/>
      <c r="DZ662" s="1394"/>
      <c r="EA662" s="1394"/>
      <c r="EB662" s="1394"/>
      <c r="EC662" s="1394" t="e">
        <f t="shared" si="43"/>
        <v>#VALUE!</v>
      </c>
      <c r="ED662" s="1394"/>
      <c r="EE662" s="1394"/>
      <c r="EF662" s="1394"/>
      <c r="EG662" s="1394"/>
      <c r="EH662" s="1394" t="e">
        <f t="shared" si="44"/>
        <v>#VALUE!</v>
      </c>
      <c r="EI662" s="1394"/>
      <c r="EJ662" s="1394"/>
      <c r="EK662" s="1394"/>
      <c r="EL662" s="1394"/>
      <c r="EM662" s="1394" t="e">
        <f t="shared" si="45"/>
        <v>#VALUE!</v>
      </c>
      <c r="EN662" s="1394"/>
      <c r="EO662" s="1394"/>
      <c r="EP662" s="1394"/>
      <c r="EQ662" s="1394"/>
      <c r="ER662" s="1394" t="e">
        <f t="shared" si="46"/>
        <v>#VALUE!</v>
      </c>
      <c r="ES662" s="1394"/>
      <c r="ET662" s="1394"/>
      <c r="EU662" s="1394"/>
      <c r="EV662" s="1394"/>
      <c r="EW662" s="1394" t="e">
        <f t="shared" si="47"/>
        <v>#VALUE!</v>
      </c>
      <c r="EX662" s="1394"/>
      <c r="EY662" s="1394"/>
      <c r="EZ662" s="1394"/>
      <c r="FA662" s="1394"/>
    </row>
    <row r="663" spans="1:157" ht="12.95" customHeight="1">
      <c r="A663" s="22"/>
      <c r="B663" t="s">
        <v>317</v>
      </c>
      <c r="G663" s="1491"/>
      <c r="H663" s="1491"/>
      <c r="I663" s="1491"/>
      <c r="J663" s="1491"/>
      <c r="K663" s="1491"/>
      <c r="L663" s="1491"/>
      <c r="O663" s="33" t="s">
        <v>207</v>
      </c>
      <c r="P663" s="1402"/>
      <c r="Q663" s="1402"/>
      <c r="R663" s="1402"/>
      <c r="T663" s="22"/>
      <c r="U663" t="s">
        <v>317</v>
      </c>
      <c r="Z663" s="1491"/>
      <c r="AA663" s="1491"/>
      <c r="AB663" s="1491"/>
      <c r="AC663" s="1491"/>
      <c r="AD663" s="1491"/>
      <c r="AE663" s="1491"/>
      <c r="AH663" s="33" t="s">
        <v>207</v>
      </c>
      <c r="AI663" s="1402"/>
      <c r="AJ663" s="1402"/>
      <c r="AK663" s="1402"/>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94" t="e">
        <f t="shared" si="42"/>
        <v>#VALUE!</v>
      </c>
      <c r="DY663" s="1394"/>
      <c r="DZ663" s="1394"/>
      <c r="EA663" s="1394"/>
      <c r="EB663" s="1394"/>
      <c r="EC663" s="1394" t="e">
        <f t="shared" si="43"/>
        <v>#VALUE!</v>
      </c>
      <c r="ED663" s="1394"/>
      <c r="EE663" s="1394"/>
      <c r="EF663" s="1394"/>
      <c r="EG663" s="1394"/>
      <c r="EH663" s="1394" t="e">
        <f t="shared" si="44"/>
        <v>#VALUE!</v>
      </c>
      <c r="EI663" s="1394"/>
      <c r="EJ663" s="1394"/>
      <c r="EK663" s="1394"/>
      <c r="EL663" s="1394"/>
      <c r="EM663" s="1394" t="e">
        <f t="shared" si="45"/>
        <v>#VALUE!</v>
      </c>
      <c r="EN663" s="1394"/>
      <c r="EO663" s="1394"/>
      <c r="EP663" s="1394"/>
      <c r="EQ663" s="1394"/>
      <c r="ER663" s="1394" t="e">
        <f t="shared" si="46"/>
        <v>#VALUE!</v>
      </c>
      <c r="ES663" s="1394"/>
      <c r="ET663" s="1394"/>
      <c r="EU663" s="1394"/>
      <c r="EV663" s="1394"/>
      <c r="EW663" s="1394" t="e">
        <f t="shared" si="47"/>
        <v>#VALUE!</v>
      </c>
      <c r="EX663" s="1394"/>
      <c r="EY663" s="1394"/>
      <c r="EZ663" s="1394"/>
      <c r="FA663" s="1394"/>
    </row>
    <row r="664" spans="1:157" ht="12.95" customHeight="1">
      <c r="A664" s="22"/>
      <c r="B664" t="s">
        <v>18</v>
      </c>
      <c r="H664" s="1398"/>
      <c r="I664" s="1398"/>
      <c r="J664" s="1398"/>
      <c r="K664" s="1398"/>
      <c r="L664" s="1398"/>
      <c r="M664" s="1398"/>
      <c r="N664" s="1398"/>
      <c r="O664" s="1398"/>
      <c r="P664" s="1398"/>
      <c r="Q664" s="1398"/>
      <c r="R664" s="1398"/>
      <c r="T664" s="22"/>
      <c r="U664" t="s">
        <v>18</v>
      </c>
      <c r="AA664" s="1398"/>
      <c r="AB664" s="1398"/>
      <c r="AC664" s="1398"/>
      <c r="AD664" s="1398"/>
      <c r="AE664" s="1398"/>
      <c r="AF664" s="1398"/>
      <c r="AG664" s="1398"/>
      <c r="AH664" s="1398"/>
      <c r="AI664" s="1398"/>
      <c r="AJ664" s="1398"/>
      <c r="AK664" s="1398"/>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94" t="e">
        <f t="shared" si="42"/>
        <v>#VALUE!</v>
      </c>
      <c r="DY664" s="1394"/>
      <c r="DZ664" s="1394"/>
      <c r="EA664" s="1394"/>
      <c r="EB664" s="1394"/>
      <c r="EC664" s="1394" t="e">
        <f t="shared" si="43"/>
        <v>#VALUE!</v>
      </c>
      <c r="ED664" s="1394"/>
      <c r="EE664" s="1394"/>
      <c r="EF664" s="1394"/>
      <c r="EG664" s="1394"/>
      <c r="EH664" s="1394" t="e">
        <f t="shared" si="44"/>
        <v>#VALUE!</v>
      </c>
      <c r="EI664" s="1394"/>
      <c r="EJ664" s="1394"/>
      <c r="EK664" s="1394"/>
      <c r="EL664" s="1394"/>
      <c r="EM664" s="1394" t="e">
        <f t="shared" si="45"/>
        <v>#VALUE!</v>
      </c>
      <c r="EN664" s="1394"/>
      <c r="EO664" s="1394"/>
      <c r="EP664" s="1394"/>
      <c r="EQ664" s="1394"/>
      <c r="ER664" s="1394" t="e">
        <f t="shared" si="46"/>
        <v>#VALUE!</v>
      </c>
      <c r="ES664" s="1394"/>
      <c r="ET664" s="1394"/>
      <c r="EU664" s="1394"/>
      <c r="EV664" s="1394"/>
      <c r="EW664" s="1394" t="e">
        <f t="shared" si="47"/>
        <v>#VALUE!</v>
      </c>
      <c r="EX664" s="1394"/>
      <c r="EY664" s="1394"/>
      <c r="EZ664" s="1394"/>
      <c r="FA664" s="1394"/>
    </row>
    <row r="665" spans="1:157" ht="12.95" customHeight="1">
      <c r="A665" s="22"/>
      <c r="B665" t="s">
        <v>20</v>
      </c>
      <c r="N665" s="1494" t="s">
        <v>678</v>
      </c>
      <c r="O665" s="1494"/>
      <c r="T665" s="22"/>
      <c r="U665" t="s">
        <v>20</v>
      </c>
      <c r="AG665" s="1494" t="s">
        <v>678</v>
      </c>
      <c r="AH665" s="1494"/>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94" t="e">
        <f t="shared" si="42"/>
        <v>#VALUE!</v>
      </c>
      <c r="DY665" s="1394"/>
      <c r="DZ665" s="1394"/>
      <c r="EA665" s="1394"/>
      <c r="EB665" s="1394"/>
      <c r="EC665" s="1394" t="e">
        <f t="shared" si="43"/>
        <v>#VALUE!</v>
      </c>
      <c r="ED665" s="1394"/>
      <c r="EE665" s="1394"/>
      <c r="EF665" s="1394"/>
      <c r="EG665" s="1394"/>
      <c r="EH665" s="1394" t="e">
        <f t="shared" si="44"/>
        <v>#VALUE!</v>
      </c>
      <c r="EI665" s="1394"/>
      <c r="EJ665" s="1394"/>
      <c r="EK665" s="1394"/>
      <c r="EL665" s="1394"/>
      <c r="EM665" s="1394" t="e">
        <f t="shared" si="45"/>
        <v>#VALUE!</v>
      </c>
      <c r="EN665" s="1394"/>
      <c r="EO665" s="1394"/>
      <c r="EP665" s="1394"/>
      <c r="EQ665" s="1394"/>
      <c r="ER665" s="1394" t="e">
        <f t="shared" si="46"/>
        <v>#VALUE!</v>
      </c>
      <c r="ES665" s="1394"/>
      <c r="ET665" s="1394"/>
      <c r="EU665" s="1394"/>
      <c r="EV665" s="1394"/>
      <c r="EW665" s="1394" t="e">
        <f t="shared" si="47"/>
        <v>#VALUE!</v>
      </c>
      <c r="EX665" s="1394"/>
      <c r="EY665" s="1394"/>
      <c r="EZ665" s="1394"/>
      <c r="FA665" s="1394"/>
    </row>
    <row r="666" spans="1:157" ht="12.95"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1740</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94" t="e">
        <f t="shared" si="42"/>
        <v>#VALUE!</v>
      </c>
      <c r="DY666" s="1394"/>
      <c r="DZ666" s="1394"/>
      <c r="EA666" s="1394"/>
      <c r="EB666" s="1394"/>
      <c r="EC666" s="1394" t="e">
        <f t="shared" si="43"/>
        <v>#VALUE!</v>
      </c>
      <c r="ED666" s="1394"/>
      <c r="EE666" s="1394"/>
      <c r="EF666" s="1394"/>
      <c r="EG666" s="1394"/>
      <c r="EH666" s="1394" t="e">
        <f t="shared" si="44"/>
        <v>#VALUE!</v>
      </c>
      <c r="EI666" s="1394"/>
      <c r="EJ666" s="1394"/>
      <c r="EK666" s="1394"/>
      <c r="EL666" s="1394"/>
      <c r="EM666" s="1394" t="e">
        <f t="shared" si="45"/>
        <v>#VALUE!</v>
      </c>
      <c r="EN666" s="1394"/>
      <c r="EO666" s="1394"/>
      <c r="EP666" s="1394"/>
      <c r="EQ666" s="1394"/>
      <c r="ER666" s="1394" t="e">
        <f t="shared" si="46"/>
        <v>#VALUE!</v>
      </c>
      <c r="ES666" s="1394"/>
      <c r="ET666" s="1394"/>
      <c r="EU666" s="1394"/>
      <c r="EV666" s="1394"/>
      <c r="EW666" s="1394" t="e">
        <f t="shared" si="47"/>
        <v>#VALUE!</v>
      </c>
      <c r="EX666" s="1394"/>
      <c r="EY666" s="1394"/>
      <c r="EZ666" s="1394"/>
      <c r="FA666" s="1394"/>
    </row>
    <row r="667" spans="1:157" ht="12.95" customHeight="1">
      <c r="A667" s="55" t="s">
        <v>464</v>
      </c>
      <c r="B667" t="s">
        <v>472</v>
      </c>
      <c r="G667" s="1536">
        <f>C633</f>
        <v>0</v>
      </c>
      <c r="H667" s="1536"/>
      <c r="I667" s="1536"/>
      <c r="J667" s="1536"/>
      <c r="K667" s="1536"/>
      <c r="L667" s="1536"/>
      <c r="M667" s="1536"/>
      <c r="N667" s="1536"/>
      <c r="O667" s="1536"/>
      <c r="P667" s="1536"/>
      <c r="Q667" s="1536"/>
      <c r="R667" s="1536"/>
      <c r="T667" s="55" t="s">
        <v>465</v>
      </c>
      <c r="U667" t="s">
        <v>472</v>
      </c>
      <c r="Z667" s="1536">
        <f>C634</f>
        <v>0</v>
      </c>
      <c r="AA667" s="1536"/>
      <c r="AB667" s="1536"/>
      <c r="AC667" s="1536"/>
      <c r="AD667" s="1536"/>
      <c r="AE667" s="1536"/>
      <c r="AF667" s="1536"/>
      <c r="AG667" s="1536"/>
      <c r="AH667" s="1536"/>
      <c r="AI667" s="1536"/>
      <c r="AJ667" s="1536"/>
      <c r="AK667" s="1536"/>
      <c r="AZ667" s="3"/>
      <c r="BA667" s="118">
        <f t="shared" ref="BA667:BA699" si="48">IF($G718=0,"N/A",VLOOKUP($T$189,TC_Rent,(MATCH($B718,bedrooms,FALSE))))</f>
        <v>2652</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94" t="e">
        <f t="shared" si="42"/>
        <v>#VALUE!</v>
      </c>
      <c r="DY667" s="1394"/>
      <c r="DZ667" s="1394"/>
      <c r="EA667" s="1394"/>
      <c r="EB667" s="1394"/>
      <c r="EC667" s="1394" t="e">
        <f t="shared" si="43"/>
        <v>#VALUE!</v>
      </c>
      <c r="ED667" s="1394"/>
      <c r="EE667" s="1394"/>
      <c r="EF667" s="1394"/>
      <c r="EG667" s="1394"/>
      <c r="EH667" s="1394" t="e">
        <f t="shared" si="44"/>
        <v>#VALUE!</v>
      </c>
      <c r="EI667" s="1394"/>
      <c r="EJ667" s="1394"/>
      <c r="EK667" s="1394"/>
      <c r="EL667" s="1394"/>
      <c r="EM667" s="1394" t="e">
        <f t="shared" si="45"/>
        <v>#VALUE!</v>
      </c>
      <c r="EN667" s="1394"/>
      <c r="EO667" s="1394"/>
      <c r="EP667" s="1394"/>
      <c r="EQ667" s="1394"/>
      <c r="ER667" s="1394" t="e">
        <f t="shared" si="46"/>
        <v>#VALUE!</v>
      </c>
      <c r="ES667" s="1394"/>
      <c r="ET667" s="1394"/>
      <c r="EU667" s="1394"/>
      <c r="EV667" s="1394"/>
      <c r="EW667" s="1394" t="e">
        <f t="shared" si="47"/>
        <v>#VALUE!</v>
      </c>
      <c r="EX667" s="1394"/>
      <c r="EY667" s="1394"/>
      <c r="EZ667" s="1394"/>
      <c r="FA667" s="1394"/>
    </row>
    <row r="668" spans="1:157" ht="12.95" customHeight="1">
      <c r="A668" s="22"/>
      <c r="B668" t="s">
        <v>85</v>
      </c>
      <c r="G668" s="1398"/>
      <c r="H668" s="1398"/>
      <c r="I668" s="1398"/>
      <c r="J668" s="1398"/>
      <c r="K668" s="1398"/>
      <c r="L668" s="1398"/>
      <c r="M668" s="1398"/>
      <c r="N668" s="1398"/>
      <c r="O668" s="1398"/>
      <c r="P668" s="1398"/>
      <c r="Q668" s="1398"/>
      <c r="R668" s="1398"/>
      <c r="T668" s="22"/>
      <c r="U668" t="s">
        <v>85</v>
      </c>
      <c r="Z668" s="1398"/>
      <c r="AA668" s="1398"/>
      <c r="AB668" s="1398"/>
      <c r="AC668" s="1398"/>
      <c r="AD668" s="1398"/>
      <c r="AE668" s="1398"/>
      <c r="AF668" s="1398"/>
      <c r="AG668" s="1398"/>
      <c r="AH668" s="1398"/>
      <c r="AI668" s="1398"/>
      <c r="AJ668" s="1398"/>
      <c r="AK668" s="1398"/>
      <c r="AZ668" s="3"/>
      <c r="BA668" s="118">
        <f t="shared" si="48"/>
        <v>2652</v>
      </c>
      <c r="BB668" s="3"/>
      <c r="BC668" s="3"/>
      <c r="BD668" s="3"/>
      <c r="BE668" s="3"/>
      <c r="BF668" s="218"/>
      <c r="BG668" s="315">
        <f t="shared" ref="BG668:BG700" si="49">G718</f>
        <v>7</v>
      </c>
      <c r="BH668" s="319">
        <f t="shared" ref="BH668:BH702" si="50">IF($BG$703=0,0,BG668/$BG$703)</f>
        <v>4.8275862068965517E-2</v>
      </c>
      <c r="BI668" s="320">
        <f t="shared" ref="BI668:BI691" si="51">IF(BH668=0,"",BH668*AC718)</f>
        <v>1.4482758620689654E-2</v>
      </c>
      <c r="BJ668" s="3"/>
      <c r="BK668" s="3"/>
      <c r="BL668" s="3"/>
      <c r="BM668" s="3"/>
      <c r="BN668" s="3"/>
      <c r="BO668" s="3"/>
      <c r="BT668" s="315">
        <f t="shared" ref="BT668:BT700" si="52">G718</f>
        <v>7</v>
      </c>
      <c r="BU668" s="319">
        <f t="shared" ref="BU668:BU702" si="53">IF($BT$703=0,0,BT668/$BT$703)</f>
        <v>4.8275862068965517E-2</v>
      </c>
      <c r="BV668" s="320">
        <f t="shared" ref="BV668:BV700" si="54">IF(BU668=0,"",BU668*AH718)</f>
        <v>1.4471836479950069E-2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94" t="e">
        <f>DX630*(BN630/$BN$632)</f>
        <v>#VALUE!</v>
      </c>
      <c r="DY668" s="1394"/>
      <c r="DZ668" s="1394"/>
      <c r="EA668" s="1394"/>
      <c r="EB668" s="1394"/>
      <c r="EC668" s="1394" t="e">
        <f>EC630*(BS630/$BS$632)</f>
        <v>#VALUE!</v>
      </c>
      <c r="ED668" s="1394"/>
      <c r="EE668" s="1394"/>
      <c r="EF668" s="1394"/>
      <c r="EG668" s="1394"/>
      <c r="EH668" s="1394" t="e">
        <f>EH630*(BX630/$BX$632)</f>
        <v>#VALUE!</v>
      </c>
      <c r="EI668" s="1394"/>
      <c r="EJ668" s="1394"/>
      <c r="EK668" s="1394"/>
      <c r="EL668" s="1394"/>
      <c r="EM668" s="1394" t="e">
        <f>EM630*(CC630/$CC$632)</f>
        <v>#VALUE!</v>
      </c>
      <c r="EN668" s="1394"/>
      <c r="EO668" s="1394"/>
      <c r="EP668" s="1394"/>
      <c r="EQ668" s="1394"/>
      <c r="ER668" s="1394" t="e">
        <f>ER630*(CH630/$CH$632)</f>
        <v>#VALUE!</v>
      </c>
      <c r="ES668" s="1394"/>
      <c r="ET668" s="1394"/>
      <c r="EU668" s="1394"/>
      <c r="EV668" s="1394"/>
      <c r="EW668" s="1394" t="e">
        <f>EW630*(CM630/$CM$632)</f>
        <v>#VALUE!</v>
      </c>
      <c r="EX668" s="1394"/>
      <c r="EY668" s="1394"/>
      <c r="EZ668" s="1394"/>
      <c r="FA668" s="1394"/>
    </row>
    <row r="669" spans="1:157" ht="12.95" customHeight="1">
      <c r="A669" s="22"/>
      <c r="B669" t="s">
        <v>589</v>
      </c>
      <c r="G669" s="1398"/>
      <c r="H669" s="1398"/>
      <c r="I669" s="1398"/>
      <c r="J669" s="1398"/>
      <c r="K669" s="1398"/>
      <c r="L669" s="1398"/>
      <c r="M669" s="1398"/>
      <c r="N669" s="1398"/>
      <c r="O669" s="1398"/>
      <c r="P669" s="1398"/>
      <c r="Q669" s="1398"/>
      <c r="R669" s="1398"/>
      <c r="T669" s="22"/>
      <c r="U669" t="s">
        <v>589</v>
      </c>
      <c r="Z669" s="1404"/>
      <c r="AA669" s="1404"/>
      <c r="AB669" s="1404"/>
      <c r="AC669" s="1404"/>
      <c r="AD669" s="1404"/>
      <c r="AE669" s="1404"/>
      <c r="AF669" s="1404"/>
      <c r="AG669" s="1404"/>
      <c r="AH669" s="1404"/>
      <c r="AI669" s="1404"/>
      <c r="AJ669" s="1404"/>
      <c r="AK669" s="1404"/>
      <c r="AZ669" s="3"/>
      <c r="BA669" s="118">
        <f t="shared" si="48"/>
        <v>2652</v>
      </c>
      <c r="BB669" s="3"/>
      <c r="BC669" s="3"/>
      <c r="BD669" s="3"/>
      <c r="BE669" s="3"/>
      <c r="BF669" s="218"/>
      <c r="BG669" s="316">
        <f t="shared" si="49"/>
        <v>2</v>
      </c>
      <c r="BH669" s="319">
        <f t="shared" si="50"/>
        <v>1.3793103448275862E-2</v>
      </c>
      <c r="BI669" s="320">
        <f t="shared" si="51"/>
        <v>4.1379310344827587E-3</v>
      </c>
      <c r="BJ669" s="3"/>
      <c r="BK669" s="3"/>
      <c r="BL669" s="3"/>
      <c r="BM669" s="3"/>
      <c r="BN669" s="3"/>
      <c r="BO669" s="3"/>
      <c r="BT669" s="316">
        <f t="shared" si="52"/>
        <v>2</v>
      </c>
      <c r="BU669" s="319">
        <f t="shared" si="53"/>
        <v>1.3793103448275862E-2</v>
      </c>
      <c r="BV669" s="320">
        <f t="shared" si="54"/>
        <v>4.1348104228428771E-3</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94" t="e">
        <f>DX631*(BN631/$BN$632)</f>
        <v>#VALUE!</v>
      </c>
      <c r="DY669" s="1394"/>
      <c r="DZ669" s="1394"/>
      <c r="EA669" s="1394"/>
      <c r="EB669" s="1394"/>
      <c r="EC669" s="1394" t="e">
        <f>EC631*(BS631/$BS$632)</f>
        <v>#VALUE!</v>
      </c>
      <c r="ED669" s="1394"/>
      <c r="EE669" s="1394"/>
      <c r="EF669" s="1394"/>
      <c r="EG669" s="1394"/>
      <c r="EH669" s="1394" t="e">
        <f>EH631*(BX631/$BX$632)</f>
        <v>#VALUE!</v>
      </c>
      <c r="EI669" s="1394"/>
      <c r="EJ669" s="1394"/>
      <c r="EK669" s="1394"/>
      <c r="EL669" s="1394"/>
      <c r="EM669" s="1394" t="e">
        <f>EM631*(CC631/$CC$632)</f>
        <v>#VALUE!</v>
      </c>
      <c r="EN669" s="1394"/>
      <c r="EO669" s="1394"/>
      <c r="EP669" s="1394"/>
      <c r="EQ669" s="1394"/>
      <c r="ER669" s="1394" t="e">
        <f>ER631*(CH631/$CH$632)</f>
        <v>#VALUE!</v>
      </c>
      <c r="ES669" s="1394"/>
      <c r="ET669" s="1394"/>
      <c r="EU669" s="1394"/>
      <c r="EV669" s="1394"/>
      <c r="EW669" s="1394" t="e">
        <f>EW631*(CM631/$CM$632)</f>
        <v>#VALUE!</v>
      </c>
      <c r="EX669" s="1394"/>
      <c r="EY669" s="1394"/>
      <c r="EZ669" s="1394"/>
      <c r="FA669" s="1394"/>
    </row>
    <row r="670" spans="1:157" ht="12.95" customHeight="1">
      <c r="A670" s="22"/>
      <c r="B670" t="s">
        <v>17</v>
      </c>
      <c r="G670" s="1398"/>
      <c r="H670" s="1398"/>
      <c r="I670" s="1398"/>
      <c r="J670" s="1398"/>
      <c r="K670" s="1398"/>
      <c r="L670" s="1398"/>
      <c r="M670" s="1398"/>
      <c r="N670" s="1398"/>
      <c r="O670" s="1398"/>
      <c r="P670" s="1398"/>
      <c r="Q670" s="1398"/>
      <c r="R670" s="1398"/>
      <c r="T670" s="22"/>
      <c r="U670" t="s">
        <v>17</v>
      </c>
      <c r="Z670" s="1404"/>
      <c r="AA670" s="1404"/>
      <c r="AB670" s="1404"/>
      <c r="AC670" s="1404"/>
      <c r="AD670" s="1404"/>
      <c r="AE670" s="1404"/>
      <c r="AF670" s="1404"/>
      <c r="AG670" s="1404"/>
      <c r="AH670" s="1404"/>
      <c r="AI670" s="1404"/>
      <c r="AJ670" s="1404"/>
      <c r="AK670" s="1404"/>
      <c r="AZ670" s="3"/>
      <c r="BA670" s="118">
        <f t="shared" si="48"/>
        <v>2840</v>
      </c>
      <c r="BB670" s="3"/>
      <c r="BC670" s="3"/>
      <c r="BD670" s="3"/>
      <c r="BE670" s="3"/>
      <c r="BF670" s="218"/>
      <c r="BG670" s="316">
        <f t="shared" si="49"/>
        <v>15</v>
      </c>
      <c r="BH670" s="319">
        <f t="shared" si="50"/>
        <v>0.10344827586206896</v>
      </c>
      <c r="BI670" s="320">
        <f t="shared" si="51"/>
        <v>5.1724137931034482E-2</v>
      </c>
      <c r="BJ670" s="3"/>
      <c r="BK670" s="3"/>
      <c r="BL670" s="3"/>
      <c r="BM670" s="3"/>
      <c r="BN670" s="3"/>
      <c r="BO670" s="3"/>
      <c r="BT670" s="316">
        <f t="shared" si="52"/>
        <v>15</v>
      </c>
      <c r="BU670" s="319">
        <f t="shared" si="53"/>
        <v>0.10344827586206896</v>
      </c>
      <c r="BV670" s="320">
        <f t="shared" si="54"/>
        <v>5.1724137931034482E-2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94">
        <f>SUMIF(DX635:EB669,"&gt;0")</f>
        <v>1114.875</v>
      </c>
      <c r="DY670" s="1394"/>
      <c r="DZ670" s="1394"/>
      <c r="EA670" s="1394"/>
      <c r="EB670" s="1394"/>
      <c r="EC670" s="1394">
        <f>SUMIF(EC635:EG669,"&gt;0")</f>
        <v>1314.3157894736842</v>
      </c>
      <c r="ED670" s="1394"/>
      <c r="EE670" s="1394"/>
      <c r="EF670" s="1394"/>
      <c r="EG670" s="1394"/>
      <c r="EH670" s="1394">
        <f>SUMIF(EH635:EL669,"&gt;0")</f>
        <v>1677.2857142857142</v>
      </c>
      <c r="EI670" s="1394"/>
      <c r="EJ670" s="1394"/>
      <c r="EK670" s="1394"/>
      <c r="EL670" s="1394"/>
      <c r="EM670" s="1394">
        <f>SUMIF(EM635:EQ669,"&gt;0")</f>
        <v>2122.2439024390242</v>
      </c>
      <c r="EN670" s="1394"/>
      <c r="EO670" s="1394"/>
      <c r="EP670" s="1394"/>
      <c r="EQ670" s="1394"/>
      <c r="ER670" s="1394">
        <f>SUMIF(ER635:EV669,"&gt;0")</f>
        <v>0</v>
      </c>
      <c r="ES670" s="1394"/>
      <c r="ET670" s="1394"/>
      <c r="EU670" s="1394"/>
      <c r="EV670" s="1394"/>
      <c r="EW670" s="1394">
        <f>SUMIF(EW635:FA669,"&gt;0")</f>
        <v>0</v>
      </c>
      <c r="EX670" s="1394"/>
      <c r="EY670" s="1394"/>
      <c r="EZ670" s="1394"/>
      <c r="FA670" s="1394"/>
    </row>
    <row r="671" spans="1:157" ht="12.95" customHeight="1">
      <c r="A671" s="22"/>
      <c r="B671" t="s">
        <v>317</v>
      </c>
      <c r="G671" s="1491"/>
      <c r="H671" s="1491"/>
      <c r="I671" s="1491"/>
      <c r="J671" s="1491"/>
      <c r="K671" s="1491"/>
      <c r="L671" s="1491"/>
      <c r="O671" s="33" t="s">
        <v>207</v>
      </c>
      <c r="P671" s="1402"/>
      <c r="Q671" s="1402"/>
      <c r="R671" s="1402"/>
      <c r="T671" s="22"/>
      <c r="U671" t="s">
        <v>317</v>
      </c>
      <c r="Z671" s="1491"/>
      <c r="AA671" s="1491"/>
      <c r="AB671" s="1491"/>
      <c r="AC671" s="1491"/>
      <c r="AD671" s="1491"/>
      <c r="AE671" s="1491"/>
      <c r="AH671" s="33" t="s">
        <v>207</v>
      </c>
      <c r="AI671" s="1402"/>
      <c r="AJ671" s="1402"/>
      <c r="AK671" s="1402"/>
      <c r="AZ671" s="3"/>
      <c r="BA671" s="118">
        <f t="shared" si="48"/>
        <v>2840</v>
      </c>
      <c r="BB671" s="3"/>
      <c r="BC671" s="3"/>
      <c r="BD671" s="3"/>
      <c r="BE671" s="3"/>
      <c r="BF671" s="218"/>
      <c r="BG671" s="316">
        <f t="shared" si="49"/>
        <v>12</v>
      </c>
      <c r="BH671" s="319">
        <f t="shared" si="50"/>
        <v>8.2758620689655171E-2</v>
      </c>
      <c r="BI671" s="320">
        <f t="shared" si="51"/>
        <v>2.4827586206896551E-2</v>
      </c>
      <c r="BJ671" s="3"/>
      <c r="BK671" s="3"/>
      <c r="BL671" s="3"/>
      <c r="BM671" s="3"/>
      <c r="BN671" s="3"/>
      <c r="BO671" s="3"/>
      <c r="BT671" s="316">
        <f t="shared" si="52"/>
        <v>12</v>
      </c>
      <c r="BU671" s="319">
        <f t="shared" si="53"/>
        <v>8.2758620689655171E-2</v>
      </c>
      <c r="BV671" s="320">
        <f t="shared" si="54"/>
        <v>2.4827586206896551E-2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98"/>
      <c r="I672" s="1398"/>
      <c r="J672" s="1398"/>
      <c r="K672" s="1398"/>
      <c r="L672" s="1398"/>
      <c r="M672" s="1398"/>
      <c r="N672" s="1398"/>
      <c r="O672" s="1398"/>
      <c r="P672" s="1398"/>
      <c r="Q672" s="1398"/>
      <c r="R672" s="1398"/>
      <c r="T672" s="22"/>
      <c r="U672" t="s">
        <v>18</v>
      </c>
      <c r="AA672" s="1398"/>
      <c r="AB672" s="1398"/>
      <c r="AC672" s="1398"/>
      <c r="AD672" s="1398"/>
      <c r="AE672" s="1398"/>
      <c r="AF672" s="1398"/>
      <c r="AG672" s="1398"/>
      <c r="AH672" s="1398"/>
      <c r="AI672" s="1398"/>
      <c r="AJ672" s="1398"/>
      <c r="AK672" s="1398"/>
      <c r="AZ672" s="3"/>
      <c r="BA672" s="118">
        <f t="shared" si="48"/>
        <v>2840</v>
      </c>
      <c r="BB672" s="3"/>
      <c r="BC672" s="3"/>
      <c r="BD672" s="3"/>
      <c r="BE672" s="3"/>
      <c r="BF672" s="218"/>
      <c r="BG672" s="316">
        <f t="shared" si="49"/>
        <v>2</v>
      </c>
      <c r="BH672" s="319">
        <f t="shared" si="50"/>
        <v>1.3793103448275862E-2</v>
      </c>
      <c r="BI672" s="320">
        <f t="shared" si="51"/>
        <v>4.1379310344827587E-3</v>
      </c>
      <c r="BJ672" s="3"/>
      <c r="BK672" s="3"/>
      <c r="BL672" s="3"/>
      <c r="BM672" s="3"/>
      <c r="BN672" s="3"/>
      <c r="BO672" s="3"/>
      <c r="BT672" s="316">
        <f t="shared" si="52"/>
        <v>2</v>
      </c>
      <c r="BU672" s="319">
        <f t="shared" si="53"/>
        <v>1.3793103448275862E-2</v>
      </c>
      <c r="BV672" s="320">
        <f t="shared" si="54"/>
        <v>4.1379310344827587E-3</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494" t="s">
        <v>678</v>
      </c>
      <c r="O673" s="1494"/>
      <c r="T673" s="22"/>
      <c r="U673" t="s">
        <v>20</v>
      </c>
      <c r="AG673" s="1494" t="s">
        <v>678</v>
      </c>
      <c r="AH673" s="1494"/>
      <c r="AZ673" s="3"/>
      <c r="BA673" s="118">
        <f t="shared" si="48"/>
        <v>2840</v>
      </c>
      <c r="BB673" s="3"/>
      <c r="BC673" s="3"/>
      <c r="BD673" s="3"/>
      <c r="BE673" s="3"/>
      <c r="BF673" s="218"/>
      <c r="BG673" s="316">
        <f t="shared" si="49"/>
        <v>4</v>
      </c>
      <c r="BH673" s="319">
        <f t="shared" si="50"/>
        <v>2.7586206896551724E-2</v>
      </c>
      <c r="BI673" s="320">
        <f t="shared" si="51"/>
        <v>1.1034482758620691E-2</v>
      </c>
      <c r="BJ673" s="3"/>
      <c r="BK673" s="3"/>
      <c r="BL673" s="3"/>
      <c r="BM673" s="3"/>
      <c r="BN673" s="3"/>
      <c r="BO673" s="3"/>
      <c r="BT673" s="316">
        <f t="shared" si="52"/>
        <v>4</v>
      </c>
      <c r="BU673" s="319">
        <f t="shared" si="53"/>
        <v>2.7586206896551724E-2</v>
      </c>
      <c r="BV673" s="320">
        <f t="shared" si="54"/>
        <v>1.1034482758620691E-2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2840</v>
      </c>
      <c r="BB674" s="3"/>
      <c r="BC674" s="3"/>
      <c r="BD674" s="3"/>
      <c r="BE674" s="3"/>
      <c r="BF674" s="218"/>
      <c r="BG674" s="316">
        <f t="shared" si="49"/>
        <v>12</v>
      </c>
      <c r="BH674" s="319">
        <f t="shared" si="50"/>
        <v>8.2758620689655171E-2</v>
      </c>
      <c r="BI674" s="320">
        <f t="shared" si="51"/>
        <v>4.1379310344827586E-2</v>
      </c>
      <c r="BJ674" s="3"/>
      <c r="BK674" s="3"/>
      <c r="BL674" s="3"/>
      <c r="BM674" s="3"/>
      <c r="BN674" s="3"/>
      <c r="BO674" s="3"/>
      <c r="BT674" s="316">
        <f t="shared" si="52"/>
        <v>12</v>
      </c>
      <c r="BU674" s="319">
        <f t="shared" si="53"/>
        <v>8.2758620689655171E-2</v>
      </c>
      <c r="BV674" s="320">
        <f t="shared" si="54"/>
        <v>4.1379310344827586E-2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470</v>
      </c>
      <c r="B675" t="s">
        <v>472</v>
      </c>
      <c r="G675" s="1536">
        <f>C635</f>
        <v>0</v>
      </c>
      <c r="H675" s="1536"/>
      <c r="I675" s="1536"/>
      <c r="J675" s="1536"/>
      <c r="K675" s="1536"/>
      <c r="L675" s="1536"/>
      <c r="M675" s="1536"/>
      <c r="N675" s="1536"/>
      <c r="O675" s="1536"/>
      <c r="P675" s="1536"/>
      <c r="Q675" s="1536"/>
      <c r="R675" s="1536"/>
      <c r="T675" s="55" t="s">
        <v>655</v>
      </c>
      <c r="U675" t="s">
        <v>472</v>
      </c>
      <c r="Z675" s="1536">
        <f>C636</f>
        <v>0</v>
      </c>
      <c r="AA675" s="1536"/>
      <c r="AB675" s="1536"/>
      <c r="AC675" s="1536"/>
      <c r="AD675" s="1536"/>
      <c r="AE675" s="1536"/>
      <c r="AF675" s="1536"/>
      <c r="AG675" s="1536"/>
      <c r="AH675" s="1536"/>
      <c r="AI675" s="1536"/>
      <c r="AJ675" s="1536"/>
      <c r="AK675" s="1536"/>
      <c r="AZ675" s="3"/>
      <c r="BA675" s="118">
        <f t="shared" si="48"/>
        <v>3410</v>
      </c>
      <c r="BB675" s="3"/>
      <c r="BC675" s="3"/>
      <c r="BD675" s="3"/>
      <c r="BE675" s="3"/>
      <c r="BF675" s="218"/>
      <c r="BG675" s="316">
        <f t="shared" si="49"/>
        <v>8</v>
      </c>
      <c r="BH675" s="319">
        <f t="shared" si="50"/>
        <v>5.5172413793103448E-2</v>
      </c>
      <c r="BI675" s="320">
        <f t="shared" si="51"/>
        <v>4.4137931034482762E-2</v>
      </c>
      <c r="BJ675" s="3"/>
      <c r="BK675" s="3"/>
      <c r="BL675" s="3"/>
      <c r="BM675" s="3"/>
      <c r="BN675" s="3"/>
      <c r="BO675" s="3"/>
      <c r="BT675" s="316">
        <f t="shared" si="52"/>
        <v>8</v>
      </c>
      <c r="BU675" s="319">
        <f t="shared" si="53"/>
        <v>5.5172413793103448E-2</v>
      </c>
      <c r="BV675" s="320">
        <f t="shared" si="54"/>
        <v>4.1010199125789217E-2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98"/>
      <c r="H676" s="1398"/>
      <c r="I676" s="1398"/>
      <c r="J676" s="1398"/>
      <c r="K676" s="1398"/>
      <c r="L676" s="1398"/>
      <c r="M676" s="1398"/>
      <c r="N676" s="1398"/>
      <c r="O676" s="1398"/>
      <c r="P676" s="1398"/>
      <c r="Q676" s="1398"/>
      <c r="R676" s="1398"/>
      <c r="T676" s="22"/>
      <c r="U676" t="s">
        <v>85</v>
      </c>
      <c r="Z676" s="1398"/>
      <c r="AA676" s="1398"/>
      <c r="AB676" s="1398"/>
      <c r="AC676" s="1398"/>
      <c r="AD676" s="1398"/>
      <c r="AE676" s="1398"/>
      <c r="AF676" s="1398"/>
      <c r="AG676" s="1398"/>
      <c r="AH676" s="1398"/>
      <c r="AI676" s="1398"/>
      <c r="AJ676" s="1398"/>
      <c r="AK676" s="1398"/>
      <c r="AZ676" s="3"/>
      <c r="BA676" s="118">
        <f t="shared" si="48"/>
        <v>3410</v>
      </c>
      <c r="BB676" s="3"/>
      <c r="BC676" s="3"/>
      <c r="BD676" s="3"/>
      <c r="BE676" s="3"/>
      <c r="BF676" s="218"/>
      <c r="BG676" s="316">
        <f t="shared" si="49"/>
        <v>10</v>
      </c>
      <c r="BH676" s="319">
        <f t="shared" si="50"/>
        <v>6.8965517241379309E-2</v>
      </c>
      <c r="BI676" s="320">
        <f t="shared" si="51"/>
        <v>2.0689655172413793E-2</v>
      </c>
      <c r="BJ676" s="3"/>
      <c r="BK676" s="3"/>
      <c r="BL676" s="3"/>
      <c r="BM676" s="3"/>
      <c r="BN676" s="3"/>
      <c r="BO676" s="3"/>
      <c r="BT676" s="316">
        <f t="shared" si="52"/>
        <v>10</v>
      </c>
      <c r="BU676" s="319">
        <f t="shared" si="53"/>
        <v>6.8965517241379309E-2</v>
      </c>
      <c r="BV676" s="320">
        <f t="shared" si="54"/>
        <v>2.0689655172413793E-2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589</v>
      </c>
      <c r="G677" s="1398"/>
      <c r="H677" s="1398"/>
      <c r="I677" s="1398"/>
      <c r="J677" s="1398"/>
      <c r="K677" s="1398"/>
      <c r="L677" s="1398"/>
      <c r="M677" s="1398"/>
      <c r="N677" s="1398"/>
      <c r="O677" s="1398"/>
      <c r="P677" s="1398"/>
      <c r="Q677" s="1398"/>
      <c r="R677" s="1398"/>
      <c r="T677" s="22"/>
      <c r="U677" t="s">
        <v>589</v>
      </c>
      <c r="Z677" s="1404"/>
      <c r="AA677" s="1404"/>
      <c r="AB677" s="1404"/>
      <c r="AC677" s="1404"/>
      <c r="AD677" s="1404"/>
      <c r="AE677" s="1404"/>
      <c r="AF677" s="1404"/>
      <c r="AG677" s="1404"/>
      <c r="AH677" s="1404"/>
      <c r="AI677" s="1404"/>
      <c r="AJ677" s="1404"/>
      <c r="AK677" s="1404"/>
      <c r="AZ677" s="3"/>
      <c r="BA677" s="118">
        <f t="shared" si="48"/>
        <v>3410</v>
      </c>
      <c r="BB677" s="3"/>
      <c r="BC677" s="3"/>
      <c r="BD677" s="3"/>
      <c r="BE677" s="3"/>
      <c r="BF677" s="218"/>
      <c r="BG677" s="316">
        <f t="shared" si="49"/>
        <v>14</v>
      </c>
      <c r="BH677" s="319">
        <f t="shared" si="50"/>
        <v>9.6551724137931033E-2</v>
      </c>
      <c r="BI677" s="320">
        <f t="shared" si="51"/>
        <v>3.8620689655172416E-2</v>
      </c>
      <c r="BJ677" s="3"/>
      <c r="BK677" s="3"/>
      <c r="BL677" s="3"/>
      <c r="BM677" s="3"/>
      <c r="BN677" s="3"/>
      <c r="BO677" s="3"/>
      <c r="BT677" s="316">
        <f t="shared" si="52"/>
        <v>14</v>
      </c>
      <c r="BU677" s="319">
        <f t="shared" si="53"/>
        <v>9.6551724137931033E-2</v>
      </c>
      <c r="BV677" s="320">
        <f t="shared" si="54"/>
        <v>3.8620689655172416E-2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98"/>
      <c r="H678" s="1398"/>
      <c r="I678" s="1398"/>
      <c r="J678" s="1398"/>
      <c r="K678" s="1398"/>
      <c r="L678" s="1398"/>
      <c r="M678" s="1398"/>
      <c r="N678" s="1398"/>
      <c r="O678" s="1398"/>
      <c r="P678" s="1398"/>
      <c r="Q678" s="1398"/>
      <c r="R678" s="1398"/>
      <c r="T678" s="22"/>
      <c r="U678" t="s">
        <v>17</v>
      </c>
      <c r="Z678" s="1404"/>
      <c r="AA678" s="1404"/>
      <c r="AB678" s="1404"/>
      <c r="AC678" s="1404"/>
      <c r="AD678" s="1404"/>
      <c r="AE678" s="1404"/>
      <c r="AF678" s="1404"/>
      <c r="AG678" s="1404"/>
      <c r="AH678" s="1404"/>
      <c r="AI678" s="1404"/>
      <c r="AJ678" s="1404"/>
      <c r="AK678" s="1404"/>
      <c r="AZ678" s="3"/>
      <c r="BA678" s="118">
        <f t="shared" si="48"/>
        <v>3410</v>
      </c>
      <c r="BB678" s="3"/>
      <c r="BC678" s="3"/>
      <c r="BD678" s="3"/>
      <c r="BE678" s="3"/>
      <c r="BF678" s="218"/>
      <c r="BG678" s="316">
        <f t="shared" si="49"/>
        <v>4</v>
      </c>
      <c r="BH678" s="319">
        <f t="shared" si="50"/>
        <v>2.7586206896551724E-2</v>
      </c>
      <c r="BI678" s="320">
        <f t="shared" si="51"/>
        <v>1.3793103448275862E-2</v>
      </c>
      <c r="BJ678" s="3"/>
      <c r="BK678" s="3"/>
      <c r="BL678" s="3"/>
      <c r="BM678" s="3"/>
      <c r="BN678" s="3"/>
      <c r="BO678" s="3"/>
      <c r="BT678" s="316">
        <f t="shared" si="52"/>
        <v>4</v>
      </c>
      <c r="BU678" s="319">
        <f t="shared" si="53"/>
        <v>2.7586206896551724E-2</v>
      </c>
      <c r="BV678" s="320">
        <f t="shared" si="54"/>
        <v>1.3793103448275862E-2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491"/>
      <c r="H679" s="1491"/>
      <c r="I679" s="1491"/>
      <c r="J679" s="1491"/>
      <c r="K679" s="1491"/>
      <c r="L679" s="1491"/>
      <c r="O679" s="33" t="s">
        <v>207</v>
      </c>
      <c r="P679" s="1402"/>
      <c r="Q679" s="1402"/>
      <c r="R679" s="1402"/>
      <c r="T679" s="22"/>
      <c r="U679" t="s">
        <v>317</v>
      </c>
      <c r="Z679" s="1491"/>
      <c r="AA679" s="1491"/>
      <c r="AB679" s="1491"/>
      <c r="AC679" s="1491"/>
      <c r="AD679" s="1491"/>
      <c r="AE679" s="1491"/>
      <c r="AH679" s="33" t="s">
        <v>207</v>
      </c>
      <c r="AI679" s="1402"/>
      <c r="AJ679" s="1402"/>
      <c r="AK679" s="1402"/>
      <c r="AZ679" s="3"/>
      <c r="BA679" s="118">
        <f t="shared" si="48"/>
        <v>3410</v>
      </c>
      <c r="BB679" s="3"/>
      <c r="BC679" s="3"/>
      <c r="BD679" s="3"/>
      <c r="BE679" s="3"/>
      <c r="BF679" s="218"/>
      <c r="BG679" s="316">
        <f t="shared" si="49"/>
        <v>4</v>
      </c>
      <c r="BH679" s="319">
        <f t="shared" si="50"/>
        <v>2.7586206896551724E-2</v>
      </c>
      <c r="BI679" s="320">
        <f t="shared" si="51"/>
        <v>1.6551724137931035E-2</v>
      </c>
      <c r="BJ679" s="3"/>
      <c r="BK679" s="3"/>
      <c r="BL679" s="3"/>
      <c r="BM679" s="3"/>
      <c r="BN679" s="3"/>
      <c r="BO679" s="3"/>
      <c r="BT679" s="316">
        <f t="shared" si="52"/>
        <v>4</v>
      </c>
      <c r="BU679" s="319">
        <f t="shared" si="53"/>
        <v>2.7586206896551724E-2</v>
      </c>
      <c r="BV679" s="320">
        <f t="shared" si="54"/>
        <v>1.6551724137931035E-2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98"/>
      <c r="I680" s="1398"/>
      <c r="J680" s="1398"/>
      <c r="K680" s="1398"/>
      <c r="L680" s="1398"/>
      <c r="M680" s="1398"/>
      <c r="N680" s="1398"/>
      <c r="O680" s="1398"/>
      <c r="P680" s="1398"/>
      <c r="Q680" s="1398"/>
      <c r="R680" s="1398"/>
      <c r="T680" s="22"/>
      <c r="U680" t="s">
        <v>18</v>
      </c>
      <c r="AA680" s="1398"/>
      <c r="AB680" s="1398"/>
      <c r="AC680" s="1398"/>
      <c r="AD680" s="1398"/>
      <c r="AE680" s="1398"/>
      <c r="AF680" s="1398"/>
      <c r="AG680" s="1398"/>
      <c r="AH680" s="1398"/>
      <c r="AI680" s="1398"/>
      <c r="AJ680" s="1398"/>
      <c r="AK680" s="1398"/>
      <c r="AZ680" s="3"/>
      <c r="BA680" s="118">
        <f t="shared" si="48"/>
        <v>3940</v>
      </c>
      <c r="BB680" s="3"/>
      <c r="BC680" s="3"/>
      <c r="BD680" s="3"/>
      <c r="BE680" s="3"/>
      <c r="BF680" s="218"/>
      <c r="BG680" s="316">
        <f t="shared" si="49"/>
        <v>10</v>
      </c>
      <c r="BH680" s="319">
        <f t="shared" si="50"/>
        <v>6.8965517241379309E-2</v>
      </c>
      <c r="BI680" s="320">
        <f t="shared" si="51"/>
        <v>5.5172413793103448E-2</v>
      </c>
      <c r="BJ680" s="3"/>
      <c r="BK680" s="3"/>
      <c r="BL680" s="3"/>
      <c r="BM680" s="3"/>
      <c r="BN680" s="3"/>
      <c r="BO680" s="3"/>
      <c r="BT680" s="316">
        <f t="shared" si="52"/>
        <v>10</v>
      </c>
      <c r="BU680" s="319">
        <f t="shared" si="53"/>
        <v>6.8965517241379309E-2</v>
      </c>
      <c r="BV680" s="320">
        <f t="shared" si="54"/>
        <v>5.3837597330367075E-2</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494" t="s">
        <v>678</v>
      </c>
      <c r="O681" s="1494"/>
      <c r="T681" s="22"/>
      <c r="U681" t="s">
        <v>20</v>
      </c>
      <c r="AG681" s="1494" t="s">
        <v>678</v>
      </c>
      <c r="AH681" s="1494"/>
      <c r="AZ681" s="3"/>
      <c r="BA681" s="118">
        <f t="shared" si="48"/>
        <v>3940</v>
      </c>
      <c r="BB681" s="3"/>
      <c r="BC681" s="3"/>
      <c r="BD681" s="3"/>
      <c r="BE681" s="3"/>
      <c r="BF681" s="218"/>
      <c r="BG681" s="316">
        <f t="shared" si="49"/>
        <v>1</v>
      </c>
      <c r="BH681" s="319">
        <f t="shared" si="50"/>
        <v>6.8965517241379309E-3</v>
      </c>
      <c r="BI681" s="320">
        <f t="shared" si="51"/>
        <v>2.0689655172413794E-3</v>
      </c>
      <c r="BJ681" s="3"/>
      <c r="BK681" s="3"/>
      <c r="BL681" s="3"/>
      <c r="BM681" s="3"/>
      <c r="BN681" s="3"/>
      <c r="BO681" s="3"/>
      <c r="BT681" s="316">
        <f t="shared" si="52"/>
        <v>1</v>
      </c>
      <c r="BU681" s="319">
        <f t="shared" si="53"/>
        <v>6.8965517241379309E-3</v>
      </c>
      <c r="BV681" s="320">
        <f t="shared" si="54"/>
        <v>2.0689655172413794E-3</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f t="shared" si="48"/>
        <v>3940</v>
      </c>
      <c r="BB682" s="3"/>
      <c r="BC682" s="3"/>
      <c r="BD682" s="3"/>
      <c r="BE682" s="3"/>
      <c r="BF682" s="218"/>
      <c r="BG682" s="316">
        <f t="shared" si="49"/>
        <v>4</v>
      </c>
      <c r="BH682" s="319">
        <f t="shared" si="50"/>
        <v>2.7586206896551724E-2</v>
      </c>
      <c r="BI682" s="320">
        <f t="shared" si="51"/>
        <v>8.2758620689655175E-3</v>
      </c>
      <c r="BJ682" s="3"/>
      <c r="BK682" s="3"/>
      <c r="BL682" s="3"/>
      <c r="BM682" s="3"/>
      <c r="BN682" s="3"/>
      <c r="BO682" s="3"/>
      <c r="BT682" s="316">
        <f t="shared" si="52"/>
        <v>4</v>
      </c>
      <c r="BU682" s="319">
        <f t="shared" si="53"/>
        <v>2.7586206896551724E-2</v>
      </c>
      <c r="BV682" s="320">
        <f t="shared" si="54"/>
        <v>8.2758620689655175E-3</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472</v>
      </c>
      <c r="G683" s="1536">
        <f>C637</f>
        <v>0</v>
      </c>
      <c r="H683" s="1536"/>
      <c r="I683" s="1536"/>
      <c r="J683" s="1536"/>
      <c r="K683" s="1536"/>
      <c r="L683" s="1536"/>
      <c r="M683" s="1536"/>
      <c r="N683" s="1536"/>
      <c r="O683" s="1536"/>
      <c r="P683" s="1536"/>
      <c r="Q683" s="1536"/>
      <c r="R683" s="1536"/>
      <c r="T683" s="55" t="s">
        <v>364</v>
      </c>
      <c r="U683" t="s">
        <v>472</v>
      </c>
      <c r="Z683" s="1536">
        <f>C638</f>
        <v>0</v>
      </c>
      <c r="AA683" s="1536"/>
      <c r="AB683" s="1536"/>
      <c r="AC683" s="1536"/>
      <c r="AD683" s="1536"/>
      <c r="AE683" s="1536"/>
      <c r="AF683" s="1536"/>
      <c r="AG683" s="1536"/>
      <c r="AH683" s="1536"/>
      <c r="AI683" s="1536"/>
      <c r="AJ683" s="1536"/>
      <c r="AK683" s="1536"/>
      <c r="AZ683" s="3"/>
      <c r="BA683" s="118">
        <f t="shared" si="48"/>
        <v>3940</v>
      </c>
      <c r="BB683" s="3"/>
      <c r="BC683" s="3"/>
      <c r="BD683" s="3"/>
      <c r="BE683" s="3"/>
      <c r="BF683" s="218"/>
      <c r="BG683" s="316">
        <f t="shared" si="49"/>
        <v>7</v>
      </c>
      <c r="BH683" s="319">
        <f t="shared" si="50"/>
        <v>4.8275862068965517E-2</v>
      </c>
      <c r="BI683" s="320">
        <f t="shared" si="51"/>
        <v>1.9310344827586208E-2</v>
      </c>
      <c r="BJ683" s="3"/>
      <c r="BK683" s="3"/>
      <c r="BL683" s="3"/>
      <c r="BM683" s="3"/>
      <c r="BN683" s="3"/>
      <c r="BO683" s="3"/>
      <c r="BT683" s="316">
        <f t="shared" si="52"/>
        <v>7</v>
      </c>
      <c r="BU683" s="319">
        <f t="shared" si="53"/>
        <v>4.8275862068965517E-2</v>
      </c>
      <c r="BV683" s="320">
        <f t="shared" si="54"/>
        <v>1.9310344827586208E-2</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98"/>
      <c r="H684" s="1398"/>
      <c r="I684" s="1398"/>
      <c r="J684" s="1398"/>
      <c r="K684" s="1398"/>
      <c r="L684" s="1398"/>
      <c r="M684" s="1398"/>
      <c r="N684" s="1398"/>
      <c r="O684" s="1398"/>
      <c r="P684" s="1398"/>
      <c r="Q684" s="1398"/>
      <c r="R684" s="1398"/>
      <c r="T684" s="22"/>
      <c r="U684" t="s">
        <v>85</v>
      </c>
      <c r="Z684" s="1398"/>
      <c r="AA684" s="1398"/>
      <c r="AB684" s="1398"/>
      <c r="AC684" s="1398"/>
      <c r="AD684" s="1398"/>
      <c r="AE684" s="1398"/>
      <c r="AF684" s="1398"/>
      <c r="AG684" s="1398"/>
      <c r="AH684" s="1398"/>
      <c r="AI684" s="1398"/>
      <c r="AJ684" s="1398"/>
      <c r="AK684" s="1398"/>
      <c r="AZ684" s="3"/>
      <c r="BA684" s="118">
        <f t="shared" si="48"/>
        <v>3940</v>
      </c>
      <c r="BB684" s="3"/>
      <c r="BC684" s="3"/>
      <c r="BD684" s="3"/>
      <c r="BE684" s="3"/>
      <c r="BF684" s="218"/>
      <c r="BG684" s="316">
        <f t="shared" si="49"/>
        <v>4</v>
      </c>
      <c r="BH684" s="319">
        <f t="shared" si="50"/>
        <v>2.7586206896551724E-2</v>
      </c>
      <c r="BI684" s="320">
        <f t="shared" si="51"/>
        <v>1.3793103448275862E-2</v>
      </c>
      <c r="BJ684" s="3"/>
      <c r="BK684" s="3"/>
      <c r="BL684" s="3"/>
      <c r="BM684" s="3"/>
      <c r="BN684" s="3"/>
      <c r="BO684" s="3"/>
      <c r="BT684" s="316">
        <f t="shared" si="52"/>
        <v>4</v>
      </c>
      <c r="BU684" s="319">
        <f t="shared" si="53"/>
        <v>2.7586206896551724E-2</v>
      </c>
      <c r="BV684" s="320">
        <f t="shared" si="54"/>
        <v>1.3793103448275862E-2</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589</v>
      </c>
      <c r="G685" s="1398"/>
      <c r="H685" s="1398"/>
      <c r="I685" s="1398"/>
      <c r="J685" s="1398"/>
      <c r="K685" s="1398"/>
      <c r="L685" s="1398"/>
      <c r="M685" s="1398"/>
      <c r="N685" s="1398"/>
      <c r="O685" s="1398"/>
      <c r="P685" s="1398"/>
      <c r="Q685" s="1398"/>
      <c r="R685" s="1398"/>
      <c r="U685" t="s">
        <v>589</v>
      </c>
      <c r="Z685" s="1404"/>
      <c r="AA685" s="1404"/>
      <c r="AB685" s="1404"/>
      <c r="AC685" s="1404"/>
      <c r="AD685" s="1404"/>
      <c r="AE685" s="1404"/>
      <c r="AF685" s="1404"/>
      <c r="AG685" s="1404"/>
      <c r="AH685" s="1404"/>
      <c r="AI685" s="1404"/>
      <c r="AJ685" s="1404"/>
      <c r="AK685" s="1404"/>
      <c r="AZ685" s="3"/>
      <c r="BA685" s="118">
        <f t="shared" si="48"/>
        <v>3940</v>
      </c>
      <c r="BB685" s="3"/>
      <c r="BC685" s="3"/>
      <c r="BD685" s="3"/>
      <c r="BE685" s="3"/>
      <c r="BF685" s="218"/>
      <c r="BG685" s="316">
        <f t="shared" si="49"/>
        <v>16</v>
      </c>
      <c r="BH685" s="319">
        <f t="shared" si="50"/>
        <v>0.1103448275862069</v>
      </c>
      <c r="BI685" s="320">
        <f t="shared" si="51"/>
        <v>6.620689655172414E-2</v>
      </c>
      <c r="BJ685" s="3"/>
      <c r="BK685" s="3"/>
      <c r="BL685" s="3"/>
      <c r="BM685" s="3"/>
      <c r="BN685" s="3"/>
      <c r="BO685" s="3"/>
      <c r="BT685" s="316">
        <f t="shared" si="52"/>
        <v>16</v>
      </c>
      <c r="BU685" s="319">
        <f t="shared" si="53"/>
        <v>0.1103448275862069</v>
      </c>
      <c r="BV685" s="320">
        <f t="shared" si="54"/>
        <v>6.620689655172414E-2</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98"/>
      <c r="H686" s="1398"/>
      <c r="I686" s="1398"/>
      <c r="J686" s="1398"/>
      <c r="K686" s="1398"/>
      <c r="L686" s="1398"/>
      <c r="M686" s="1398"/>
      <c r="N686" s="1398"/>
      <c r="O686" s="1398"/>
      <c r="P686" s="1398"/>
      <c r="Q686" s="1398"/>
      <c r="R686" s="1398"/>
      <c r="U686" t="s">
        <v>17</v>
      </c>
      <c r="Z686" s="1404"/>
      <c r="AA686" s="1404"/>
      <c r="AB686" s="1404"/>
      <c r="AC686" s="1404"/>
      <c r="AD686" s="1404"/>
      <c r="AE686" s="1404"/>
      <c r="AF686" s="1404"/>
      <c r="AG686" s="1404"/>
      <c r="AH686" s="1404"/>
      <c r="AI686" s="1404"/>
      <c r="AJ686" s="1404"/>
      <c r="AK686" s="1404"/>
      <c r="AZ686" s="3"/>
      <c r="BA686" s="118" t="str">
        <f t="shared" si="48"/>
        <v>N/A</v>
      </c>
      <c r="BB686" s="3"/>
      <c r="BC686" s="3"/>
      <c r="BD686" s="3"/>
      <c r="BE686" s="3"/>
      <c r="BF686" s="218"/>
      <c r="BG686" s="316">
        <f t="shared" si="49"/>
        <v>9</v>
      </c>
      <c r="BH686" s="319">
        <f t="shared" si="50"/>
        <v>6.2068965517241378E-2</v>
      </c>
      <c r="BI686" s="320">
        <f t="shared" si="51"/>
        <v>4.9655172413793108E-2</v>
      </c>
      <c r="BJ686" s="3"/>
      <c r="BK686" s="3"/>
      <c r="BL686" s="3"/>
      <c r="BM686" s="3"/>
      <c r="BN686" s="3"/>
      <c r="BO686" s="3"/>
      <c r="BT686" s="316">
        <f t="shared" si="52"/>
        <v>9</v>
      </c>
      <c r="BU686" s="319">
        <f t="shared" si="53"/>
        <v>6.2068965517241378E-2</v>
      </c>
      <c r="BV686" s="320">
        <f t="shared" si="54"/>
        <v>4.3511290040259061E-2</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491"/>
      <c r="H687" s="1491"/>
      <c r="I687" s="1491"/>
      <c r="J687" s="1491"/>
      <c r="K687" s="1491"/>
      <c r="L687" s="1491"/>
      <c r="O687" s="33" t="s">
        <v>207</v>
      </c>
      <c r="P687" s="1402"/>
      <c r="Q687" s="1402"/>
      <c r="R687" s="1402"/>
      <c r="U687" t="s">
        <v>317</v>
      </c>
      <c r="Z687" s="1491"/>
      <c r="AA687" s="1491"/>
      <c r="AB687" s="1491"/>
      <c r="AC687" s="1491"/>
      <c r="AD687" s="1491"/>
      <c r="AE687" s="1491"/>
      <c r="AH687" s="33" t="s">
        <v>207</v>
      </c>
      <c r="AI687" s="1402"/>
      <c r="AJ687" s="1402"/>
      <c r="AK687" s="1402"/>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98"/>
      <c r="I688" s="1398"/>
      <c r="J688" s="1398"/>
      <c r="K688" s="1398"/>
      <c r="L688" s="1398"/>
      <c r="M688" s="1398"/>
      <c r="N688" s="1398"/>
      <c r="O688" s="1398"/>
      <c r="P688" s="1398"/>
      <c r="Q688" s="1398"/>
      <c r="R688" s="1398"/>
      <c r="U688" t="s">
        <v>18</v>
      </c>
      <c r="AA688" s="1398"/>
      <c r="AB688" s="1398"/>
      <c r="AC688" s="1398"/>
      <c r="AD688" s="1398"/>
      <c r="AE688" s="1398"/>
      <c r="AF688" s="1398"/>
      <c r="AG688" s="1398"/>
      <c r="AH688" s="1398"/>
      <c r="AI688" s="1398"/>
      <c r="AJ688" s="1398"/>
      <c r="AK688" s="1398"/>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494" t="s">
        <v>678</v>
      </c>
      <c r="O689" s="1494"/>
      <c r="U689" t="s">
        <v>20</v>
      </c>
      <c r="AG689" s="1494" t="s">
        <v>678</v>
      </c>
      <c r="AH689" s="1494"/>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585</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494" t="s">
        <v>554</v>
      </c>
      <c r="AF693" s="1494"/>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494" t="s">
        <v>678</v>
      </c>
      <c r="AF694" s="1494"/>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940</v>
      </c>
      <c r="E695" s="135"/>
      <c r="F695" s="135"/>
      <c r="G695" s="135"/>
      <c r="H695" s="135"/>
      <c r="AE695" s="1586">
        <v>45531</v>
      </c>
      <c r="AF695" s="1586"/>
      <c r="AG695" s="1586"/>
      <c r="AH695" s="1586"/>
      <c r="AI695" s="1586"/>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1003</v>
      </c>
      <c r="E696" s="135"/>
      <c r="F696" s="135"/>
      <c r="G696" s="135"/>
      <c r="H696" s="135"/>
      <c r="AE696" s="1853">
        <v>45637</v>
      </c>
      <c r="AF696" s="1853"/>
      <c r="AG696" s="1853"/>
      <c r="AH696" s="1853"/>
      <c r="AI696" s="1853"/>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826</v>
      </c>
      <c r="E698" s="135"/>
      <c r="F698" s="135"/>
      <c r="G698" s="135"/>
      <c r="H698" s="135"/>
      <c r="AE698" s="1586">
        <v>45810</v>
      </c>
      <c r="AF698" s="1586"/>
      <c r="AG698" s="1586"/>
      <c r="AH698" s="1586"/>
      <c r="AI698" s="1586"/>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617">
        <v>0.51</v>
      </c>
      <c r="AF699" s="1617"/>
      <c r="AG699" s="1617"/>
      <c r="AH699" s="1617"/>
      <c r="AI699" s="1617"/>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536" t="str">
        <f>H335</f>
        <v>CMFA</v>
      </c>
      <c r="X700" s="1536"/>
      <c r="Y700" s="1536"/>
      <c r="Z700" s="1536"/>
      <c r="AA700" s="1536"/>
      <c r="AB700" s="1536"/>
      <c r="AC700" s="1536"/>
      <c r="AD700" s="1536"/>
      <c r="AE700" s="1536"/>
      <c r="AF700" s="1536"/>
      <c r="AG700" s="1536"/>
      <c r="AH700" s="1536"/>
      <c r="AI700" s="1536"/>
      <c r="AJ700" s="1536"/>
      <c r="AK700" s="1536"/>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494" t="s">
        <v>678</v>
      </c>
      <c r="AF702" s="1494"/>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445</v>
      </c>
      <c r="E703" s="135"/>
      <c r="F703" s="135"/>
      <c r="G703" s="135"/>
      <c r="H703" s="135"/>
      <c r="W703" s="1554" t="s">
        <v>600</v>
      </c>
      <c r="X703" s="1398"/>
      <c r="Y703" s="1398"/>
      <c r="Z703" s="1398"/>
      <c r="AA703" s="1398"/>
      <c r="AB703" s="1398"/>
      <c r="AC703" s="1398"/>
      <c r="AD703" s="1398"/>
      <c r="AE703" s="1398"/>
      <c r="AF703" s="1398"/>
      <c r="AG703" s="1398"/>
      <c r="AH703" s="1398"/>
      <c r="AI703" s="1398"/>
      <c r="AJ703" s="1398"/>
      <c r="AK703" s="1398"/>
      <c r="AZ703" s="34"/>
      <c r="BA703" s="34"/>
      <c r="BB703" s="34"/>
      <c r="BC703" s="34"/>
      <c r="BD703" s="34"/>
      <c r="BE703" s="3"/>
      <c r="BF703" s="312" t="s">
        <v>915</v>
      </c>
      <c r="BG703" s="321">
        <f>SUM(BG668:BG702)</f>
        <v>145</v>
      </c>
      <c r="BH703" s="322">
        <f>SUM(BH668:BH702)</f>
        <v>0.99999999999999989</v>
      </c>
      <c r="BI703" s="322">
        <f>SUM(BI668:BI702)</f>
        <v>0.5</v>
      </c>
      <c r="BN703" s="3"/>
      <c r="BO703" s="3"/>
      <c r="BT703" s="893">
        <f>SUM(BT668:BT702)</f>
        <v>145</v>
      </c>
      <c r="BU703" s="322">
        <f>SUM(BU668:BU702)</f>
        <v>0.99999999999999989</v>
      </c>
      <c r="BV703" s="322">
        <f>SUM(BV668:BV702)</f>
        <v>0.48937952650265659</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554" t="s">
        <v>600</v>
      </c>
      <c r="K704" s="1398"/>
      <c r="L704" s="1398"/>
      <c r="M704" s="1398"/>
      <c r="N704" s="1398"/>
      <c r="O704" s="1398"/>
      <c r="P704" s="1398"/>
      <c r="Q704" s="1398"/>
      <c r="R704" s="1398"/>
      <c r="S704" s="1398"/>
      <c r="T704" s="1398"/>
      <c r="U704" s="1398"/>
      <c r="V704" s="1398"/>
      <c r="W704" s="1398"/>
      <c r="X704" s="1398"/>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510" t="s">
        <v>600</v>
      </c>
      <c r="K705" s="1491"/>
      <c r="L705" s="1491"/>
      <c r="M705" s="1491"/>
      <c r="N705" s="1491"/>
      <c r="O705" s="1491"/>
      <c r="P705" s="4" t="s">
        <v>207</v>
      </c>
      <c r="Q705" s="4"/>
      <c r="R705" s="1402"/>
      <c r="S705" s="1402"/>
      <c r="T705" s="1402"/>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446</v>
      </c>
      <c r="W706" s="1398" t="s">
        <v>308</v>
      </c>
      <c r="X706" s="1398"/>
      <c r="Y706" s="1398"/>
      <c r="Z706" s="1398"/>
      <c r="AA706" s="1398"/>
      <c r="AB706" s="1398"/>
      <c r="AC706" s="1398"/>
      <c r="AD706" s="1398"/>
      <c r="AE706" s="1398"/>
      <c r="AF706" s="1398"/>
      <c r="AG706" s="1398"/>
      <c r="AH706" s="1398"/>
      <c r="AI706" s="1398"/>
      <c r="AJ706" s="1398"/>
      <c r="AK706" s="1398"/>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98" t="s">
        <v>335</v>
      </c>
      <c r="F707" s="1398"/>
      <c r="G707" s="1398"/>
      <c r="H707" s="1398"/>
      <c r="I707" s="1398"/>
      <c r="J707" s="1398"/>
      <c r="K707" s="1398"/>
      <c r="L707" s="1398"/>
      <c r="M707" s="1398"/>
      <c r="N707" s="1398"/>
      <c r="O707" s="1398"/>
      <c r="P707" s="1398"/>
      <c r="Q707" s="1398"/>
      <c r="R707" s="1398"/>
      <c r="S707" s="1398"/>
      <c r="T707" s="1398"/>
      <c r="U707" s="1398"/>
      <c r="V707" s="1398"/>
      <c r="W707" s="1398"/>
      <c r="X707" s="1398"/>
      <c r="Y707" s="1398"/>
      <c r="Z707" s="1398"/>
      <c r="AA707" s="1398"/>
      <c r="AB707" s="1398"/>
      <c r="AC707" s="1398"/>
      <c r="AD707" s="1398"/>
      <c r="AE707" s="1398"/>
      <c r="AF707" s="1398"/>
      <c r="AG707" s="1398"/>
      <c r="AH707" s="1398"/>
      <c r="AI707" s="1398"/>
      <c r="AJ707" s="1398"/>
      <c r="AK707" s="1398"/>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82" t="s">
        <v>95</v>
      </c>
      <c r="B709" s="1282"/>
      <c r="C709" s="1282"/>
      <c r="D709" s="1282"/>
      <c r="E709" s="1282"/>
      <c r="F709" s="1282"/>
      <c r="G709" s="1282"/>
      <c r="H709" s="1282"/>
      <c r="I709" s="1282"/>
      <c r="J709" s="1282"/>
      <c r="K709" s="1282"/>
      <c r="L709" s="1282"/>
      <c r="M709" s="1282"/>
      <c r="N709" s="1282"/>
      <c r="O709" s="1282"/>
      <c r="P709" s="1282"/>
      <c r="Q709" s="1282"/>
      <c r="R709" s="1282"/>
      <c r="S709" s="1282"/>
      <c r="T709" s="1282"/>
      <c r="U709" s="1282"/>
      <c r="V709" s="1282"/>
      <c r="W709" s="1282"/>
      <c r="X709" s="1282"/>
      <c r="Y709" s="1282"/>
      <c r="Z709" s="1282"/>
      <c r="AA709" s="1282"/>
      <c r="AB709" s="1282"/>
      <c r="AC709" s="1282"/>
      <c r="AD709" s="1282"/>
      <c r="AE709" s="1282"/>
      <c r="AF709" s="1282"/>
      <c r="AG709" s="1282"/>
      <c r="AH709" s="1282"/>
      <c r="AI709" s="1282"/>
      <c r="AJ709" s="1282"/>
      <c r="AK709" s="1282"/>
      <c r="AL709" s="1282"/>
      <c r="AM709" s="1282"/>
      <c r="AN709" s="1282"/>
      <c r="AO709" s="1282"/>
      <c r="AP709" s="1282"/>
      <c r="AQ709" s="1282"/>
      <c r="AR709" s="1282"/>
      <c r="AS709" s="1282"/>
      <c r="AT709" s="1282"/>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82"/>
      <c r="B710" s="1282"/>
      <c r="C710" s="1282"/>
      <c r="D710" s="1282"/>
      <c r="E710" s="1282"/>
      <c r="F710" s="1282"/>
      <c r="G710" s="1282"/>
      <c r="H710" s="1282"/>
      <c r="I710" s="1282"/>
      <c r="J710" s="1282"/>
      <c r="K710" s="1282"/>
      <c r="L710" s="1282"/>
      <c r="M710" s="1282"/>
      <c r="N710" s="1282"/>
      <c r="O710" s="1282"/>
      <c r="P710" s="1282"/>
      <c r="Q710" s="1282"/>
      <c r="R710" s="1282"/>
      <c r="S710" s="1282"/>
      <c r="T710" s="1282"/>
      <c r="U710" s="1282"/>
      <c r="V710" s="1282"/>
      <c r="W710" s="1282"/>
      <c r="X710" s="1282"/>
      <c r="Y710" s="1282"/>
      <c r="Z710" s="1282"/>
      <c r="AA710" s="1282"/>
      <c r="AB710" s="1282"/>
      <c r="AC710" s="1282"/>
      <c r="AD710" s="1282"/>
      <c r="AE710" s="1282"/>
      <c r="AF710" s="1282"/>
      <c r="AG710" s="1282"/>
      <c r="AH710" s="1282"/>
      <c r="AI710" s="1282"/>
      <c r="AJ710" s="1282"/>
      <c r="AK710" s="1282"/>
      <c r="AL710" s="1282"/>
      <c r="AM710" s="1282"/>
      <c r="AN710" s="1282"/>
      <c r="AO710" s="1282"/>
      <c r="AP710" s="1282"/>
      <c r="AQ710" s="1282"/>
      <c r="AR710" s="1282"/>
      <c r="AS710" s="1282"/>
      <c r="AT710" s="1282"/>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82"/>
      <c r="B711" s="1282"/>
      <c r="C711" s="1282"/>
      <c r="D711" s="1282"/>
      <c r="E711" s="1282"/>
      <c r="F711" s="1282"/>
      <c r="G711" s="1282"/>
      <c r="H711" s="1282"/>
      <c r="I711" s="1282"/>
      <c r="J711" s="1282"/>
      <c r="K711" s="1282"/>
      <c r="L711" s="1282"/>
      <c r="M711" s="1282"/>
      <c r="N711" s="1282"/>
      <c r="O711" s="1282"/>
      <c r="P711" s="1282"/>
      <c r="Q711" s="1282"/>
      <c r="R711" s="1282"/>
      <c r="S711" s="1282"/>
      <c r="T711" s="1282"/>
      <c r="U711" s="1282"/>
      <c r="V711" s="1282"/>
      <c r="W711" s="1282"/>
      <c r="X711" s="1282"/>
      <c r="Y711" s="1282"/>
      <c r="Z711" s="1282"/>
      <c r="AA711" s="1282"/>
      <c r="AB711" s="1282"/>
      <c r="AC711" s="1282"/>
      <c r="AD711" s="1282"/>
      <c r="AE711" s="1282"/>
      <c r="AF711" s="1282"/>
      <c r="AG711" s="1282"/>
      <c r="AH711" s="1282"/>
      <c r="AI711" s="1282"/>
      <c r="AJ711" s="1282"/>
      <c r="AK711" s="1282"/>
      <c r="AL711" s="1282"/>
      <c r="AM711" s="1282"/>
      <c r="AN711" s="1282"/>
      <c r="AO711" s="1282"/>
      <c r="AP711" s="1282"/>
      <c r="AQ711" s="1282"/>
      <c r="AR711" s="1282"/>
      <c r="AS711" s="1282"/>
      <c r="AT711" s="1282"/>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601" t="s">
        <v>390</v>
      </c>
      <c r="C714" s="1374"/>
      <c r="D714" s="1374"/>
      <c r="E714" s="1374"/>
      <c r="F714" s="1375"/>
      <c r="G714" s="1601" t="s">
        <v>286</v>
      </c>
      <c r="H714" s="1374"/>
      <c r="I714" s="1374"/>
      <c r="J714" s="1375"/>
      <c r="K714" s="1388" t="s">
        <v>1868</v>
      </c>
      <c r="L714" s="1389"/>
      <c r="M714" s="1389"/>
      <c r="N714" s="1390"/>
      <c r="O714" s="1601" t="s">
        <v>456</v>
      </c>
      <c r="P714" s="1374"/>
      <c r="Q714" s="1374"/>
      <c r="R714" s="1374"/>
      <c r="S714" s="1375"/>
      <c r="T714" s="1373" t="s">
        <v>2252</v>
      </c>
      <c r="U714" s="1374"/>
      <c r="V714" s="1374"/>
      <c r="W714" s="1375"/>
      <c r="X714" s="1373" t="s">
        <v>2254</v>
      </c>
      <c r="Y714" s="1374"/>
      <c r="Z714" s="1374"/>
      <c r="AA714" s="1374"/>
      <c r="AB714" s="1375"/>
      <c r="AC714" s="1373" t="s">
        <v>2253</v>
      </c>
      <c r="AD714" s="1374"/>
      <c r="AE714" s="1374"/>
      <c r="AF714" s="1374"/>
      <c r="AG714" s="1375"/>
      <c r="AH714" s="1373" t="s">
        <v>2255</v>
      </c>
      <c r="AI714" s="1374"/>
      <c r="AJ714" s="1375"/>
      <c r="AK714" s="1373" t="s">
        <v>2289</v>
      </c>
      <c r="AL714" s="1374"/>
      <c r="AM714" s="1374"/>
      <c r="AN714" s="1374"/>
      <c r="AO714" s="1375"/>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76"/>
      <c r="C715" s="1377"/>
      <c r="D715" s="1377"/>
      <c r="E715" s="1377"/>
      <c r="F715" s="1378"/>
      <c r="G715" s="1376"/>
      <c r="H715" s="1377"/>
      <c r="I715" s="1377"/>
      <c r="J715" s="1378"/>
      <c r="K715" s="1391"/>
      <c r="L715" s="1392"/>
      <c r="M715" s="1392"/>
      <c r="N715" s="1393"/>
      <c r="O715" s="1376"/>
      <c r="P715" s="1377"/>
      <c r="Q715" s="1377"/>
      <c r="R715" s="1377"/>
      <c r="S715" s="1378"/>
      <c r="T715" s="1376"/>
      <c r="U715" s="1377"/>
      <c r="V715" s="1377"/>
      <c r="W715" s="1378"/>
      <c r="X715" s="1376"/>
      <c r="Y715" s="1377"/>
      <c r="Z715" s="1377"/>
      <c r="AA715" s="1377"/>
      <c r="AB715" s="1378"/>
      <c r="AC715" s="1376"/>
      <c r="AD715" s="1377"/>
      <c r="AE715" s="1377"/>
      <c r="AF715" s="1377"/>
      <c r="AG715" s="1378"/>
      <c r="AH715" s="1376"/>
      <c r="AI715" s="1377"/>
      <c r="AJ715" s="1378"/>
      <c r="AK715" s="1376"/>
      <c r="AL715" s="1377"/>
      <c r="AM715" s="1377"/>
      <c r="AN715" s="1377"/>
      <c r="AO715" s="1378"/>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76"/>
      <c r="C716" s="1377"/>
      <c r="D716" s="1377"/>
      <c r="E716" s="1377"/>
      <c r="F716" s="1378"/>
      <c r="G716" s="1376"/>
      <c r="H716" s="1377"/>
      <c r="I716" s="1377"/>
      <c r="J716" s="1378"/>
      <c r="K716" s="1391"/>
      <c r="L716" s="1392"/>
      <c r="M716" s="1392"/>
      <c r="N716" s="1393"/>
      <c r="O716" s="1376"/>
      <c r="P716" s="1377"/>
      <c r="Q716" s="1377"/>
      <c r="R716" s="1377"/>
      <c r="S716" s="1378"/>
      <c r="T716" s="1376"/>
      <c r="U716" s="1377"/>
      <c r="V716" s="1377"/>
      <c r="W716" s="1378"/>
      <c r="X716" s="1376"/>
      <c r="Y716" s="1377"/>
      <c r="Z716" s="1377"/>
      <c r="AA716" s="1377"/>
      <c r="AB716" s="1378"/>
      <c r="AC716" s="1376"/>
      <c r="AD716" s="1377"/>
      <c r="AE716" s="1377"/>
      <c r="AF716" s="1377"/>
      <c r="AG716" s="1378"/>
      <c r="AH716" s="1376"/>
      <c r="AI716" s="1377"/>
      <c r="AJ716" s="1378"/>
      <c r="AK716" s="1376"/>
      <c r="AL716" s="1377"/>
      <c r="AM716" s="1377"/>
      <c r="AN716" s="1377"/>
      <c r="AO716" s="1378"/>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79"/>
      <c r="C717" s="1380"/>
      <c r="D717" s="1380"/>
      <c r="E717" s="1380"/>
      <c r="F717" s="1381"/>
      <c r="G717" s="1379"/>
      <c r="H717" s="1380"/>
      <c r="I717" s="1380"/>
      <c r="J717" s="1381"/>
      <c r="K717" s="1391"/>
      <c r="L717" s="1392"/>
      <c r="M717" s="1392"/>
      <c r="N717" s="1393"/>
      <c r="O717" s="1379"/>
      <c r="P717" s="1380"/>
      <c r="Q717" s="1380"/>
      <c r="R717" s="1380"/>
      <c r="S717" s="1381"/>
      <c r="T717" s="1379"/>
      <c r="U717" s="1380"/>
      <c r="V717" s="1380"/>
      <c r="W717" s="1381"/>
      <c r="X717" s="1379"/>
      <c r="Y717" s="1380"/>
      <c r="Z717" s="1380"/>
      <c r="AA717" s="1380"/>
      <c r="AB717" s="1381"/>
      <c r="AC717" s="1379"/>
      <c r="AD717" s="1380"/>
      <c r="AE717" s="1380"/>
      <c r="AF717" s="1380"/>
      <c r="AG717" s="1381"/>
      <c r="AH717" s="1379"/>
      <c r="AI717" s="1380"/>
      <c r="AJ717" s="1381"/>
      <c r="AK717" s="1379"/>
      <c r="AL717" s="1380"/>
      <c r="AM717" s="1380"/>
      <c r="AN717" s="1380"/>
      <c r="AO717" s="1381"/>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61" t="s">
        <v>325</v>
      </c>
      <c r="C718" s="1362"/>
      <c r="D718" s="1362"/>
      <c r="E718" s="1362"/>
      <c r="F718" s="1363"/>
      <c r="G718" s="1370">
        <v>7</v>
      </c>
      <c r="H718" s="1371"/>
      <c r="I718" s="1371"/>
      <c r="J718" s="1372"/>
      <c r="K718" s="1588">
        <v>380</v>
      </c>
      <c r="L718" s="1589"/>
      <c r="M718" s="1589"/>
      <c r="N718" s="1590"/>
      <c r="O718" s="1382">
        <v>783</v>
      </c>
      <c r="P718" s="1383"/>
      <c r="Q718" s="1383"/>
      <c r="R718" s="1383"/>
      <c r="S718" s="1384"/>
      <c r="T718" s="1382">
        <v>12</v>
      </c>
      <c r="U718" s="1383"/>
      <c r="V718" s="1383"/>
      <c r="W718" s="1384"/>
      <c r="X718" s="1364">
        <f t="shared" ref="X718:X741" si="59">O718+T718</f>
        <v>795</v>
      </c>
      <c r="Y718" s="1365"/>
      <c r="Z718" s="1365"/>
      <c r="AA718" s="1365"/>
      <c r="AB718" s="1366"/>
      <c r="AC718" s="1385">
        <v>0.3</v>
      </c>
      <c r="AD718" s="1386"/>
      <c r="AE718" s="1386"/>
      <c r="AF718" s="1386"/>
      <c r="AG718" s="1387"/>
      <c r="AH718" s="1367">
        <f t="shared" ref="AH718:AH751" si="60">IF($AC718&gt;0,($X718/$BA667), "")</f>
        <v>0.29977375565610859</v>
      </c>
      <c r="AI718" s="1368"/>
      <c r="AJ718" s="1369"/>
      <c r="AK718" s="1361" t="s">
        <v>600</v>
      </c>
      <c r="AL718" s="1362"/>
      <c r="AM718" s="1362"/>
      <c r="AN718" s="1362"/>
      <c r="AO718" s="1363"/>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61" t="s">
        <v>325</v>
      </c>
      <c r="C719" s="1362"/>
      <c r="D719" s="1362"/>
      <c r="E719" s="1362"/>
      <c r="F719" s="1363"/>
      <c r="G719" s="1370">
        <v>2</v>
      </c>
      <c r="H719" s="1371"/>
      <c r="I719" s="1371"/>
      <c r="J719" s="1372"/>
      <c r="K719" s="1588">
        <v>380</v>
      </c>
      <c r="L719" s="1589"/>
      <c r="M719" s="1589"/>
      <c r="N719" s="1590"/>
      <c r="O719" s="1382">
        <v>783</v>
      </c>
      <c r="P719" s="1383"/>
      <c r="Q719" s="1383"/>
      <c r="R719" s="1383"/>
      <c r="S719" s="1384"/>
      <c r="T719" s="1382">
        <v>12</v>
      </c>
      <c r="U719" s="1383"/>
      <c r="V719" s="1383"/>
      <c r="W719" s="1384"/>
      <c r="X719" s="1364">
        <f t="shared" si="59"/>
        <v>795</v>
      </c>
      <c r="Y719" s="1365"/>
      <c r="Z719" s="1365"/>
      <c r="AA719" s="1365"/>
      <c r="AB719" s="1366"/>
      <c r="AC719" s="1385">
        <v>0.3</v>
      </c>
      <c r="AD719" s="1386"/>
      <c r="AE719" s="1386"/>
      <c r="AF719" s="1386"/>
      <c r="AG719" s="1387"/>
      <c r="AH719" s="1367">
        <f t="shared" si="60"/>
        <v>0.29977375565610859</v>
      </c>
      <c r="AI719" s="1368"/>
      <c r="AJ719" s="1369"/>
      <c r="AK719" s="1361" t="s">
        <v>2748</v>
      </c>
      <c r="AL719" s="1362"/>
      <c r="AM719" s="1362"/>
      <c r="AN719" s="1362"/>
      <c r="AO719" s="1363"/>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61" t="s">
        <v>325</v>
      </c>
      <c r="C720" s="1362"/>
      <c r="D720" s="1362"/>
      <c r="E720" s="1362"/>
      <c r="F720" s="1363"/>
      <c r="G720" s="1370">
        <v>15</v>
      </c>
      <c r="H720" s="1371"/>
      <c r="I720" s="1371"/>
      <c r="J720" s="1372"/>
      <c r="K720" s="1588">
        <v>380</v>
      </c>
      <c r="L720" s="1589"/>
      <c r="M720" s="1589"/>
      <c r="N720" s="1590"/>
      <c r="O720" s="1382">
        <v>1314</v>
      </c>
      <c r="P720" s="1383"/>
      <c r="Q720" s="1383"/>
      <c r="R720" s="1383"/>
      <c r="S720" s="1384"/>
      <c r="T720" s="1382">
        <v>12</v>
      </c>
      <c r="U720" s="1383"/>
      <c r="V720" s="1383"/>
      <c r="W720" s="1384"/>
      <c r="X720" s="1364">
        <f t="shared" si="59"/>
        <v>1326</v>
      </c>
      <c r="Y720" s="1365"/>
      <c r="Z720" s="1365"/>
      <c r="AA720" s="1365"/>
      <c r="AB720" s="1366"/>
      <c r="AC720" s="1385">
        <v>0.5</v>
      </c>
      <c r="AD720" s="1386"/>
      <c r="AE720" s="1386"/>
      <c r="AF720" s="1386"/>
      <c r="AG720" s="1387"/>
      <c r="AH720" s="1367">
        <f t="shared" si="60"/>
        <v>0.5</v>
      </c>
      <c r="AI720" s="1368"/>
      <c r="AJ720" s="1369"/>
      <c r="AK720" s="1361" t="s">
        <v>600</v>
      </c>
      <c r="AL720" s="1362"/>
      <c r="AM720" s="1362"/>
      <c r="AN720" s="1362"/>
      <c r="AO720" s="1363"/>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61" t="s">
        <v>326</v>
      </c>
      <c r="C721" s="1362"/>
      <c r="D721" s="1362"/>
      <c r="E721" s="1362"/>
      <c r="F721" s="1363"/>
      <c r="G721" s="1370">
        <v>12</v>
      </c>
      <c r="H721" s="1371"/>
      <c r="I721" s="1371"/>
      <c r="J721" s="1372"/>
      <c r="K721" s="1588">
        <v>600</v>
      </c>
      <c r="L721" s="1589"/>
      <c r="M721" s="1589"/>
      <c r="N721" s="1590"/>
      <c r="O721" s="1382">
        <v>840</v>
      </c>
      <c r="P721" s="1383"/>
      <c r="Q721" s="1383"/>
      <c r="R721" s="1383"/>
      <c r="S721" s="1384"/>
      <c r="T721" s="1382">
        <v>12</v>
      </c>
      <c r="U721" s="1383"/>
      <c r="V721" s="1383"/>
      <c r="W721" s="1384"/>
      <c r="X721" s="1364">
        <f t="shared" si="59"/>
        <v>852</v>
      </c>
      <c r="Y721" s="1365"/>
      <c r="Z721" s="1365"/>
      <c r="AA721" s="1365"/>
      <c r="AB721" s="1366"/>
      <c r="AC721" s="1385">
        <v>0.3</v>
      </c>
      <c r="AD721" s="1386"/>
      <c r="AE721" s="1386"/>
      <c r="AF721" s="1386"/>
      <c r="AG721" s="1387"/>
      <c r="AH721" s="1367">
        <f t="shared" si="60"/>
        <v>0.3</v>
      </c>
      <c r="AI721" s="1368"/>
      <c r="AJ721" s="1369"/>
      <c r="AK721" s="1361" t="s">
        <v>600</v>
      </c>
      <c r="AL721" s="1362"/>
      <c r="AM721" s="1362"/>
      <c r="AN721" s="1362"/>
      <c r="AO721" s="1363"/>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61" t="s">
        <v>326</v>
      </c>
      <c r="C722" s="1362"/>
      <c r="D722" s="1362"/>
      <c r="E722" s="1362"/>
      <c r="F722" s="1363"/>
      <c r="G722" s="1370">
        <v>2</v>
      </c>
      <c r="H722" s="1371"/>
      <c r="I722" s="1371"/>
      <c r="J722" s="1372"/>
      <c r="K722" s="1588">
        <v>600</v>
      </c>
      <c r="L722" s="1589"/>
      <c r="M722" s="1589"/>
      <c r="N722" s="1590"/>
      <c r="O722" s="1382">
        <v>840</v>
      </c>
      <c r="P722" s="1383"/>
      <c r="Q722" s="1383"/>
      <c r="R722" s="1383"/>
      <c r="S722" s="1384"/>
      <c r="T722" s="1382">
        <v>12</v>
      </c>
      <c r="U722" s="1383"/>
      <c r="V722" s="1383"/>
      <c r="W722" s="1384"/>
      <c r="X722" s="1364">
        <f t="shared" si="59"/>
        <v>852</v>
      </c>
      <c r="Y722" s="1365"/>
      <c r="Z722" s="1365"/>
      <c r="AA722" s="1365"/>
      <c r="AB722" s="1366"/>
      <c r="AC722" s="1385">
        <v>0.3</v>
      </c>
      <c r="AD722" s="1386"/>
      <c r="AE722" s="1386"/>
      <c r="AF722" s="1386"/>
      <c r="AG722" s="1387"/>
      <c r="AH722" s="1367">
        <f t="shared" si="60"/>
        <v>0.3</v>
      </c>
      <c r="AI722" s="1368"/>
      <c r="AJ722" s="1369"/>
      <c r="AK722" s="1361" t="s">
        <v>2748</v>
      </c>
      <c r="AL722" s="1362"/>
      <c r="AM722" s="1362"/>
      <c r="AN722" s="1362"/>
      <c r="AO722" s="1363"/>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61" t="s">
        <v>326</v>
      </c>
      <c r="C723" s="1362"/>
      <c r="D723" s="1362"/>
      <c r="E723" s="1362"/>
      <c r="F723" s="1363"/>
      <c r="G723" s="1370">
        <v>4</v>
      </c>
      <c r="H723" s="1371"/>
      <c r="I723" s="1371"/>
      <c r="J723" s="1372"/>
      <c r="K723" s="1588">
        <v>600</v>
      </c>
      <c r="L723" s="1589"/>
      <c r="M723" s="1589"/>
      <c r="N723" s="1590"/>
      <c r="O723" s="1382">
        <v>1124</v>
      </c>
      <c r="P723" s="1383"/>
      <c r="Q723" s="1383"/>
      <c r="R723" s="1383"/>
      <c r="S723" s="1384"/>
      <c r="T723" s="1382">
        <v>12</v>
      </c>
      <c r="U723" s="1383"/>
      <c r="V723" s="1383"/>
      <c r="W723" s="1384"/>
      <c r="X723" s="1364">
        <f t="shared" si="59"/>
        <v>1136</v>
      </c>
      <c r="Y723" s="1365"/>
      <c r="Z723" s="1365"/>
      <c r="AA723" s="1365"/>
      <c r="AB723" s="1366"/>
      <c r="AC723" s="1385">
        <v>0.4</v>
      </c>
      <c r="AD723" s="1386"/>
      <c r="AE723" s="1386"/>
      <c r="AF723" s="1386"/>
      <c r="AG723" s="1387"/>
      <c r="AH723" s="1367">
        <f t="shared" si="60"/>
        <v>0.4</v>
      </c>
      <c r="AI723" s="1368"/>
      <c r="AJ723" s="1369"/>
      <c r="AK723" s="1361" t="s">
        <v>600</v>
      </c>
      <c r="AL723" s="1362"/>
      <c r="AM723" s="1362"/>
      <c r="AN723" s="1362"/>
      <c r="AO723" s="1363"/>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61" t="s">
        <v>326</v>
      </c>
      <c r="C724" s="1362"/>
      <c r="D724" s="1362"/>
      <c r="E724" s="1362"/>
      <c r="F724" s="1363"/>
      <c r="G724" s="1370">
        <v>12</v>
      </c>
      <c r="H724" s="1371"/>
      <c r="I724" s="1371"/>
      <c r="J724" s="1372"/>
      <c r="K724" s="1588">
        <v>600</v>
      </c>
      <c r="L724" s="1589"/>
      <c r="M724" s="1589"/>
      <c r="N724" s="1590"/>
      <c r="O724" s="1382">
        <v>1408</v>
      </c>
      <c r="P724" s="1383"/>
      <c r="Q724" s="1383"/>
      <c r="R724" s="1383"/>
      <c r="S724" s="1384"/>
      <c r="T724" s="1382">
        <v>12</v>
      </c>
      <c r="U724" s="1383"/>
      <c r="V724" s="1383"/>
      <c r="W724" s="1384"/>
      <c r="X724" s="1364">
        <f t="shared" si="59"/>
        <v>1420</v>
      </c>
      <c r="Y724" s="1365"/>
      <c r="Z724" s="1365"/>
      <c r="AA724" s="1365"/>
      <c r="AB724" s="1366"/>
      <c r="AC724" s="1385">
        <v>0.5</v>
      </c>
      <c r="AD724" s="1386"/>
      <c r="AE724" s="1386"/>
      <c r="AF724" s="1386"/>
      <c r="AG724" s="1387"/>
      <c r="AH724" s="1367">
        <f t="shared" si="60"/>
        <v>0.5</v>
      </c>
      <c r="AI724" s="1368"/>
      <c r="AJ724" s="1369"/>
      <c r="AK724" s="1361" t="s">
        <v>600</v>
      </c>
      <c r="AL724" s="1362"/>
      <c r="AM724" s="1362"/>
      <c r="AN724" s="1362"/>
      <c r="AO724" s="1363"/>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61" t="s">
        <v>326</v>
      </c>
      <c r="C725" s="1362"/>
      <c r="D725" s="1362"/>
      <c r="E725" s="1362"/>
      <c r="F725" s="1363"/>
      <c r="G725" s="1370">
        <v>8</v>
      </c>
      <c r="H725" s="1371"/>
      <c r="I725" s="1371"/>
      <c r="J725" s="1372"/>
      <c r="K725" s="1588">
        <v>600</v>
      </c>
      <c r="L725" s="1589"/>
      <c r="M725" s="1589"/>
      <c r="N725" s="1590"/>
      <c r="O725" s="1382">
        <v>2099</v>
      </c>
      <c r="P725" s="1383"/>
      <c r="Q725" s="1383"/>
      <c r="R725" s="1383"/>
      <c r="S725" s="1384"/>
      <c r="T725" s="1382">
        <v>12</v>
      </c>
      <c r="U725" s="1383"/>
      <c r="V725" s="1383"/>
      <c r="W725" s="1384"/>
      <c r="X725" s="1364">
        <f t="shared" si="59"/>
        <v>2111</v>
      </c>
      <c r="Y725" s="1365"/>
      <c r="Z725" s="1365"/>
      <c r="AA725" s="1365"/>
      <c r="AB725" s="1366"/>
      <c r="AC725" s="1385">
        <v>0.8</v>
      </c>
      <c r="AD725" s="1386"/>
      <c r="AE725" s="1386"/>
      <c r="AF725" s="1386"/>
      <c r="AG725" s="1387"/>
      <c r="AH725" s="1367">
        <f t="shared" si="60"/>
        <v>0.74330985915492953</v>
      </c>
      <c r="AI725" s="1368"/>
      <c r="AJ725" s="1369"/>
      <c r="AK725" s="1361" t="s">
        <v>600</v>
      </c>
      <c r="AL725" s="1362"/>
      <c r="AM725" s="1362"/>
      <c r="AN725" s="1362"/>
      <c r="AO725" s="1363"/>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61" t="s">
        <v>163</v>
      </c>
      <c r="C726" s="1362"/>
      <c r="D726" s="1362"/>
      <c r="E726" s="1362"/>
      <c r="F726" s="1363"/>
      <c r="G726" s="1370">
        <v>10</v>
      </c>
      <c r="H726" s="1371"/>
      <c r="I726" s="1371"/>
      <c r="J726" s="1372"/>
      <c r="K726" s="1588">
        <v>825</v>
      </c>
      <c r="L726" s="1589"/>
      <c r="M726" s="1589"/>
      <c r="N726" s="1590"/>
      <c r="O726" s="1382">
        <v>1011</v>
      </c>
      <c r="P726" s="1383"/>
      <c r="Q726" s="1383"/>
      <c r="R726" s="1383"/>
      <c r="S726" s="1384"/>
      <c r="T726" s="1382">
        <v>12</v>
      </c>
      <c r="U726" s="1383"/>
      <c r="V726" s="1383"/>
      <c r="W726" s="1384"/>
      <c r="X726" s="1364">
        <f t="shared" si="59"/>
        <v>1023</v>
      </c>
      <c r="Y726" s="1365"/>
      <c r="Z726" s="1365"/>
      <c r="AA726" s="1365"/>
      <c r="AB726" s="1366"/>
      <c r="AC726" s="1385">
        <v>0.3</v>
      </c>
      <c r="AD726" s="1386"/>
      <c r="AE726" s="1386"/>
      <c r="AF726" s="1386"/>
      <c r="AG726" s="1387"/>
      <c r="AH726" s="1367">
        <f t="shared" si="60"/>
        <v>0.3</v>
      </c>
      <c r="AI726" s="1368"/>
      <c r="AJ726" s="1369"/>
      <c r="AK726" s="1361" t="s">
        <v>600</v>
      </c>
      <c r="AL726" s="1362"/>
      <c r="AM726" s="1362"/>
      <c r="AN726" s="1362"/>
      <c r="AO726" s="1363"/>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61" t="s">
        <v>163</v>
      </c>
      <c r="C727" s="1362"/>
      <c r="D727" s="1362"/>
      <c r="E727" s="1362"/>
      <c r="F727" s="1363"/>
      <c r="G727" s="1370">
        <v>14</v>
      </c>
      <c r="H727" s="1371"/>
      <c r="I727" s="1371"/>
      <c r="J727" s="1372"/>
      <c r="K727" s="1588">
        <v>825</v>
      </c>
      <c r="L727" s="1589"/>
      <c r="M727" s="1589"/>
      <c r="N727" s="1590"/>
      <c r="O727" s="1382">
        <v>1352</v>
      </c>
      <c r="P727" s="1383"/>
      <c r="Q727" s="1383"/>
      <c r="R727" s="1383"/>
      <c r="S727" s="1384"/>
      <c r="T727" s="1382">
        <v>12</v>
      </c>
      <c r="U727" s="1383"/>
      <c r="V727" s="1383"/>
      <c r="W727" s="1384"/>
      <c r="X727" s="1364">
        <f t="shared" si="59"/>
        <v>1364</v>
      </c>
      <c r="Y727" s="1365"/>
      <c r="Z727" s="1365"/>
      <c r="AA727" s="1365"/>
      <c r="AB727" s="1366"/>
      <c r="AC727" s="1385">
        <v>0.4</v>
      </c>
      <c r="AD727" s="1386"/>
      <c r="AE727" s="1386"/>
      <c r="AF727" s="1386"/>
      <c r="AG727" s="1387"/>
      <c r="AH727" s="1367">
        <f t="shared" si="60"/>
        <v>0.4</v>
      </c>
      <c r="AI727" s="1368"/>
      <c r="AJ727" s="1369"/>
      <c r="AK727" s="1361" t="s">
        <v>600</v>
      </c>
      <c r="AL727" s="1362"/>
      <c r="AM727" s="1362"/>
      <c r="AN727" s="1362"/>
      <c r="AO727" s="1363"/>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61" t="s">
        <v>163</v>
      </c>
      <c r="C728" s="1362"/>
      <c r="D728" s="1362"/>
      <c r="E728" s="1362"/>
      <c r="F728" s="1363"/>
      <c r="G728" s="1370">
        <v>4</v>
      </c>
      <c r="H728" s="1371"/>
      <c r="I728" s="1371"/>
      <c r="J728" s="1372"/>
      <c r="K728" s="1588">
        <v>825</v>
      </c>
      <c r="L728" s="1589"/>
      <c r="M728" s="1589"/>
      <c r="N728" s="1590"/>
      <c r="O728" s="1382">
        <v>1693</v>
      </c>
      <c r="P728" s="1383"/>
      <c r="Q728" s="1383"/>
      <c r="R728" s="1383"/>
      <c r="S728" s="1384"/>
      <c r="T728" s="1382">
        <v>12</v>
      </c>
      <c r="U728" s="1383"/>
      <c r="V728" s="1383"/>
      <c r="W728" s="1384"/>
      <c r="X728" s="1364">
        <f t="shared" si="59"/>
        <v>1705</v>
      </c>
      <c r="Y728" s="1365"/>
      <c r="Z728" s="1365"/>
      <c r="AA728" s="1365"/>
      <c r="AB728" s="1366"/>
      <c r="AC728" s="1385">
        <v>0.5</v>
      </c>
      <c r="AD728" s="1386"/>
      <c r="AE728" s="1386"/>
      <c r="AF728" s="1386"/>
      <c r="AG728" s="1387"/>
      <c r="AH728" s="1367">
        <f t="shared" si="60"/>
        <v>0.5</v>
      </c>
      <c r="AI728" s="1368"/>
      <c r="AJ728" s="1369"/>
      <c r="AK728" s="1361" t="s">
        <v>600</v>
      </c>
      <c r="AL728" s="1362"/>
      <c r="AM728" s="1362"/>
      <c r="AN728" s="1362"/>
      <c r="AO728" s="1363"/>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61" t="s">
        <v>163</v>
      </c>
      <c r="C729" s="1362"/>
      <c r="D729" s="1362"/>
      <c r="E729" s="1362"/>
      <c r="F729" s="1363"/>
      <c r="G729" s="1370">
        <v>4</v>
      </c>
      <c r="H729" s="1371"/>
      <c r="I729" s="1371"/>
      <c r="J729" s="1372"/>
      <c r="K729" s="1588">
        <v>825</v>
      </c>
      <c r="L729" s="1589"/>
      <c r="M729" s="1589"/>
      <c r="N729" s="1590"/>
      <c r="O729" s="1382">
        <v>2034</v>
      </c>
      <c r="P729" s="1383"/>
      <c r="Q729" s="1383"/>
      <c r="R729" s="1383"/>
      <c r="S729" s="1384"/>
      <c r="T729" s="1382">
        <v>12</v>
      </c>
      <c r="U729" s="1383"/>
      <c r="V729" s="1383"/>
      <c r="W729" s="1384"/>
      <c r="X729" s="1364">
        <f t="shared" si="59"/>
        <v>2046</v>
      </c>
      <c r="Y729" s="1365"/>
      <c r="Z729" s="1365"/>
      <c r="AA729" s="1365"/>
      <c r="AB729" s="1366"/>
      <c r="AC729" s="1385">
        <v>0.6</v>
      </c>
      <c r="AD729" s="1386"/>
      <c r="AE729" s="1386"/>
      <c r="AF729" s="1386"/>
      <c r="AG729" s="1387"/>
      <c r="AH729" s="1367">
        <f t="shared" si="60"/>
        <v>0.6</v>
      </c>
      <c r="AI729" s="1368"/>
      <c r="AJ729" s="1369"/>
      <c r="AK729" s="1361" t="s">
        <v>600</v>
      </c>
      <c r="AL729" s="1362"/>
      <c r="AM729" s="1362"/>
      <c r="AN729" s="1362"/>
      <c r="AO729" s="1363"/>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61" t="s">
        <v>163</v>
      </c>
      <c r="C730" s="1362"/>
      <c r="D730" s="1362"/>
      <c r="E730" s="1362"/>
      <c r="F730" s="1363"/>
      <c r="G730" s="1370">
        <v>10</v>
      </c>
      <c r="H730" s="1371"/>
      <c r="I730" s="1371"/>
      <c r="J730" s="1372"/>
      <c r="K730" s="1588">
        <v>825</v>
      </c>
      <c r="L730" s="1589"/>
      <c r="M730" s="1589"/>
      <c r="N730" s="1590"/>
      <c r="O730" s="1382">
        <v>2650</v>
      </c>
      <c r="P730" s="1383"/>
      <c r="Q730" s="1383"/>
      <c r="R730" s="1383"/>
      <c r="S730" s="1384"/>
      <c r="T730" s="1382">
        <v>12</v>
      </c>
      <c r="U730" s="1383"/>
      <c r="V730" s="1383"/>
      <c r="W730" s="1384"/>
      <c r="X730" s="1364">
        <f t="shared" si="59"/>
        <v>2662</v>
      </c>
      <c r="Y730" s="1365"/>
      <c r="Z730" s="1365"/>
      <c r="AA730" s="1365"/>
      <c r="AB730" s="1366"/>
      <c r="AC730" s="1385">
        <v>0.8</v>
      </c>
      <c r="AD730" s="1386"/>
      <c r="AE730" s="1386"/>
      <c r="AF730" s="1386"/>
      <c r="AG730" s="1387"/>
      <c r="AH730" s="1367">
        <f t="shared" si="60"/>
        <v>0.78064516129032258</v>
      </c>
      <c r="AI730" s="1368"/>
      <c r="AJ730" s="1369"/>
      <c r="AK730" s="1361" t="s">
        <v>600</v>
      </c>
      <c r="AL730" s="1362"/>
      <c r="AM730" s="1362"/>
      <c r="AN730" s="1362"/>
      <c r="AO730" s="1363"/>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61" t="s">
        <v>164</v>
      </c>
      <c r="C731" s="1362"/>
      <c r="D731" s="1362"/>
      <c r="E731" s="1362"/>
      <c r="F731" s="1363"/>
      <c r="G731" s="1370">
        <v>1</v>
      </c>
      <c r="H731" s="1371"/>
      <c r="I731" s="1371"/>
      <c r="J731" s="1372"/>
      <c r="K731" s="1588">
        <v>1130</v>
      </c>
      <c r="L731" s="1589"/>
      <c r="M731" s="1589"/>
      <c r="N731" s="1590"/>
      <c r="O731" s="1382">
        <v>1170</v>
      </c>
      <c r="P731" s="1383"/>
      <c r="Q731" s="1383"/>
      <c r="R731" s="1383"/>
      <c r="S731" s="1384"/>
      <c r="T731" s="1382">
        <v>12</v>
      </c>
      <c r="U731" s="1383"/>
      <c r="V731" s="1383"/>
      <c r="W731" s="1384"/>
      <c r="X731" s="1364">
        <f t="shared" si="59"/>
        <v>1182</v>
      </c>
      <c r="Y731" s="1365"/>
      <c r="Z731" s="1365"/>
      <c r="AA731" s="1365"/>
      <c r="AB731" s="1366"/>
      <c r="AC731" s="1385">
        <v>0.3</v>
      </c>
      <c r="AD731" s="1386"/>
      <c r="AE731" s="1386"/>
      <c r="AF731" s="1386"/>
      <c r="AG731" s="1387"/>
      <c r="AH731" s="1367">
        <f t="shared" si="60"/>
        <v>0.3</v>
      </c>
      <c r="AI731" s="1368"/>
      <c r="AJ731" s="1369"/>
      <c r="AK731" s="1361" t="s">
        <v>600</v>
      </c>
      <c r="AL731" s="1362"/>
      <c r="AM731" s="1362"/>
      <c r="AN731" s="1362"/>
      <c r="AO731" s="1363"/>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61" t="s">
        <v>164</v>
      </c>
      <c r="C732" s="1362"/>
      <c r="D732" s="1362"/>
      <c r="E732" s="1362"/>
      <c r="F732" s="1363"/>
      <c r="G732" s="1370">
        <v>4</v>
      </c>
      <c r="H732" s="1371"/>
      <c r="I732" s="1371"/>
      <c r="J732" s="1372"/>
      <c r="K732" s="1588">
        <v>1130</v>
      </c>
      <c r="L732" s="1589"/>
      <c r="M732" s="1589"/>
      <c r="N732" s="1590"/>
      <c r="O732" s="1382">
        <v>1170</v>
      </c>
      <c r="P732" s="1383"/>
      <c r="Q732" s="1383"/>
      <c r="R732" s="1383"/>
      <c r="S732" s="1384"/>
      <c r="T732" s="1382">
        <v>12</v>
      </c>
      <c r="U732" s="1383"/>
      <c r="V732" s="1383"/>
      <c r="W732" s="1384"/>
      <c r="X732" s="1364">
        <f t="shared" si="59"/>
        <v>1182</v>
      </c>
      <c r="Y732" s="1365"/>
      <c r="Z732" s="1365"/>
      <c r="AA732" s="1365"/>
      <c r="AB732" s="1366"/>
      <c r="AC732" s="1385">
        <v>0.3</v>
      </c>
      <c r="AD732" s="1386"/>
      <c r="AE732" s="1386"/>
      <c r="AF732" s="1386"/>
      <c r="AG732" s="1387"/>
      <c r="AH732" s="1367">
        <f t="shared" si="60"/>
        <v>0.3</v>
      </c>
      <c r="AI732" s="1368"/>
      <c r="AJ732" s="1369"/>
      <c r="AK732" s="1361" t="s">
        <v>600</v>
      </c>
      <c r="AL732" s="1362"/>
      <c r="AM732" s="1362"/>
      <c r="AN732" s="1362"/>
      <c r="AO732" s="1363"/>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61" t="s">
        <v>164</v>
      </c>
      <c r="C733" s="1362"/>
      <c r="D733" s="1362"/>
      <c r="E733" s="1362"/>
      <c r="F733" s="1363"/>
      <c r="G733" s="1370">
        <v>7</v>
      </c>
      <c r="H733" s="1371"/>
      <c r="I733" s="1371"/>
      <c r="J733" s="1372"/>
      <c r="K733" s="1588">
        <v>1130</v>
      </c>
      <c r="L733" s="1589"/>
      <c r="M733" s="1589"/>
      <c r="N733" s="1590"/>
      <c r="O733" s="1382">
        <v>1564</v>
      </c>
      <c r="P733" s="1383"/>
      <c r="Q733" s="1383"/>
      <c r="R733" s="1383"/>
      <c r="S733" s="1384"/>
      <c r="T733" s="1382">
        <v>12</v>
      </c>
      <c r="U733" s="1383"/>
      <c r="V733" s="1383"/>
      <c r="W733" s="1384"/>
      <c r="X733" s="1364">
        <f t="shared" si="59"/>
        <v>1576</v>
      </c>
      <c r="Y733" s="1365"/>
      <c r="Z733" s="1365"/>
      <c r="AA733" s="1365"/>
      <c r="AB733" s="1366"/>
      <c r="AC733" s="1385">
        <v>0.4</v>
      </c>
      <c r="AD733" s="1386"/>
      <c r="AE733" s="1386"/>
      <c r="AF733" s="1386"/>
      <c r="AG733" s="1387"/>
      <c r="AH733" s="1367">
        <f t="shared" si="60"/>
        <v>0.4</v>
      </c>
      <c r="AI733" s="1368"/>
      <c r="AJ733" s="1369"/>
      <c r="AK733" s="1361" t="s">
        <v>600</v>
      </c>
      <c r="AL733" s="1362"/>
      <c r="AM733" s="1362"/>
      <c r="AN733" s="1362"/>
      <c r="AO733" s="1363"/>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61" t="s">
        <v>164</v>
      </c>
      <c r="C734" s="1362"/>
      <c r="D734" s="1362"/>
      <c r="E734" s="1362"/>
      <c r="F734" s="1363"/>
      <c r="G734" s="1370">
        <v>4</v>
      </c>
      <c r="H734" s="1371"/>
      <c r="I734" s="1371"/>
      <c r="J734" s="1372"/>
      <c r="K734" s="1588">
        <v>1130</v>
      </c>
      <c r="L734" s="1589"/>
      <c r="M734" s="1589"/>
      <c r="N734" s="1590"/>
      <c r="O734" s="1382">
        <v>1958</v>
      </c>
      <c r="P734" s="1383"/>
      <c r="Q734" s="1383"/>
      <c r="R734" s="1383"/>
      <c r="S734" s="1384"/>
      <c r="T734" s="1382">
        <v>12</v>
      </c>
      <c r="U734" s="1383"/>
      <c r="V734" s="1383"/>
      <c r="W734" s="1384"/>
      <c r="X734" s="1364">
        <f t="shared" si="59"/>
        <v>1970</v>
      </c>
      <c r="Y734" s="1365"/>
      <c r="Z734" s="1365"/>
      <c r="AA734" s="1365"/>
      <c r="AB734" s="1366"/>
      <c r="AC734" s="1385">
        <v>0.5</v>
      </c>
      <c r="AD734" s="1386"/>
      <c r="AE734" s="1386"/>
      <c r="AF734" s="1386"/>
      <c r="AG734" s="1387"/>
      <c r="AH734" s="1367">
        <f t="shared" si="60"/>
        <v>0.5</v>
      </c>
      <c r="AI734" s="1368"/>
      <c r="AJ734" s="1369"/>
      <c r="AK734" s="1361" t="s">
        <v>600</v>
      </c>
      <c r="AL734" s="1362"/>
      <c r="AM734" s="1362"/>
      <c r="AN734" s="1362"/>
      <c r="AO734" s="1363"/>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61" t="s">
        <v>164</v>
      </c>
      <c r="C735" s="1362"/>
      <c r="D735" s="1362"/>
      <c r="E735" s="1362"/>
      <c r="F735" s="1363"/>
      <c r="G735" s="1370">
        <v>16</v>
      </c>
      <c r="H735" s="1371"/>
      <c r="I735" s="1371"/>
      <c r="J735" s="1372"/>
      <c r="K735" s="1588">
        <v>1130</v>
      </c>
      <c r="L735" s="1589"/>
      <c r="M735" s="1589"/>
      <c r="N735" s="1590"/>
      <c r="O735" s="1382">
        <v>2352</v>
      </c>
      <c r="P735" s="1383"/>
      <c r="Q735" s="1383"/>
      <c r="R735" s="1383"/>
      <c r="S735" s="1384"/>
      <c r="T735" s="1382">
        <v>12</v>
      </c>
      <c r="U735" s="1383"/>
      <c r="V735" s="1383"/>
      <c r="W735" s="1384"/>
      <c r="X735" s="1364">
        <f t="shared" si="59"/>
        <v>2364</v>
      </c>
      <c r="Y735" s="1365"/>
      <c r="Z735" s="1365"/>
      <c r="AA735" s="1365"/>
      <c r="AB735" s="1366"/>
      <c r="AC735" s="1385">
        <v>0.6</v>
      </c>
      <c r="AD735" s="1386"/>
      <c r="AE735" s="1386"/>
      <c r="AF735" s="1386"/>
      <c r="AG735" s="1387"/>
      <c r="AH735" s="1367">
        <f t="shared" si="60"/>
        <v>0.6</v>
      </c>
      <c r="AI735" s="1368"/>
      <c r="AJ735" s="1369"/>
      <c r="AK735" s="1361" t="s">
        <v>600</v>
      </c>
      <c r="AL735" s="1362"/>
      <c r="AM735" s="1362"/>
      <c r="AN735" s="1362"/>
      <c r="AO735" s="1363"/>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61" t="s">
        <v>164</v>
      </c>
      <c r="C736" s="1362"/>
      <c r="D736" s="1362"/>
      <c r="E736" s="1362"/>
      <c r="F736" s="1363"/>
      <c r="G736" s="1370">
        <v>9</v>
      </c>
      <c r="H736" s="1371"/>
      <c r="I736" s="1371"/>
      <c r="J736" s="1372"/>
      <c r="K736" s="1588">
        <v>1130</v>
      </c>
      <c r="L736" s="1589"/>
      <c r="M736" s="1589"/>
      <c r="N736" s="1590"/>
      <c r="O736" s="1382">
        <v>2750</v>
      </c>
      <c r="P736" s="1383"/>
      <c r="Q736" s="1383"/>
      <c r="R736" s="1383"/>
      <c r="S736" s="1384"/>
      <c r="T736" s="1382">
        <v>12</v>
      </c>
      <c r="U736" s="1383"/>
      <c r="V736" s="1383"/>
      <c r="W736" s="1384"/>
      <c r="X736" s="1364">
        <f t="shared" si="59"/>
        <v>2762</v>
      </c>
      <c r="Y736" s="1365"/>
      <c r="Z736" s="1365"/>
      <c r="AA736" s="1365"/>
      <c r="AB736" s="1366"/>
      <c r="AC736" s="1385">
        <v>0.8</v>
      </c>
      <c r="AD736" s="1386"/>
      <c r="AE736" s="1386"/>
      <c r="AF736" s="1386"/>
      <c r="AG736" s="1387"/>
      <c r="AH736" s="1367">
        <f t="shared" si="60"/>
        <v>0.70101522842639596</v>
      </c>
      <c r="AI736" s="1368"/>
      <c r="AJ736" s="1369"/>
      <c r="AK736" s="1361" t="s">
        <v>600</v>
      </c>
      <c r="AL736" s="1362"/>
      <c r="AM736" s="1362"/>
      <c r="AN736" s="1362"/>
      <c r="AO736" s="1363"/>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61"/>
      <c r="C737" s="1362"/>
      <c r="D737" s="1362"/>
      <c r="E737" s="1362"/>
      <c r="F737" s="1363"/>
      <c r="G737" s="1370"/>
      <c r="H737" s="1371"/>
      <c r="I737" s="1371"/>
      <c r="J737" s="1372"/>
      <c r="K737" s="1588"/>
      <c r="L737" s="1589"/>
      <c r="M737" s="1589"/>
      <c r="N737" s="1590"/>
      <c r="O737" s="1382"/>
      <c r="P737" s="1383"/>
      <c r="Q737" s="1383"/>
      <c r="R737" s="1383"/>
      <c r="S737" s="1384"/>
      <c r="T737" s="1382"/>
      <c r="U737" s="1383"/>
      <c r="V737" s="1383"/>
      <c r="W737" s="1384"/>
      <c r="X737" s="1364">
        <f t="shared" si="59"/>
        <v>0</v>
      </c>
      <c r="Y737" s="1365"/>
      <c r="Z737" s="1365"/>
      <c r="AA737" s="1365"/>
      <c r="AB737" s="1366"/>
      <c r="AC737" s="1385"/>
      <c r="AD737" s="1386"/>
      <c r="AE737" s="1386"/>
      <c r="AF737" s="1386"/>
      <c r="AG737" s="1387"/>
      <c r="AH737" s="1367" t="str">
        <f t="shared" si="60"/>
        <v/>
      </c>
      <c r="AI737" s="1368"/>
      <c r="AJ737" s="1369"/>
      <c r="AK737" s="1361" t="s">
        <v>600</v>
      </c>
      <c r="AL737" s="1362"/>
      <c r="AM737" s="1362"/>
      <c r="AN737" s="1362"/>
      <c r="AO737" s="1363"/>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61"/>
      <c r="C738" s="1362"/>
      <c r="D738" s="1362"/>
      <c r="E738" s="1362"/>
      <c r="F738" s="1363"/>
      <c r="G738" s="1370"/>
      <c r="H738" s="1371"/>
      <c r="I738" s="1371"/>
      <c r="J738" s="1372"/>
      <c r="K738" s="1588"/>
      <c r="L738" s="1589"/>
      <c r="M738" s="1589"/>
      <c r="N738" s="1590"/>
      <c r="O738" s="1382"/>
      <c r="P738" s="1383"/>
      <c r="Q738" s="1383"/>
      <c r="R738" s="1383"/>
      <c r="S738" s="1384"/>
      <c r="T738" s="1382"/>
      <c r="U738" s="1383"/>
      <c r="V738" s="1383"/>
      <c r="W738" s="1384"/>
      <c r="X738" s="1364">
        <f t="shared" si="59"/>
        <v>0</v>
      </c>
      <c r="Y738" s="1365"/>
      <c r="Z738" s="1365"/>
      <c r="AA738" s="1365"/>
      <c r="AB738" s="1366"/>
      <c r="AC738" s="1385"/>
      <c r="AD738" s="1386"/>
      <c r="AE738" s="1386"/>
      <c r="AF738" s="1386"/>
      <c r="AG738" s="1387"/>
      <c r="AH738" s="1367" t="str">
        <f t="shared" si="60"/>
        <v/>
      </c>
      <c r="AI738" s="1368"/>
      <c r="AJ738" s="1369"/>
      <c r="AK738" s="1361" t="s">
        <v>600</v>
      </c>
      <c r="AL738" s="1362"/>
      <c r="AM738" s="1362"/>
      <c r="AN738" s="1362"/>
      <c r="AO738" s="1363"/>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61"/>
      <c r="C739" s="1362"/>
      <c r="D739" s="1362"/>
      <c r="E739" s="1362"/>
      <c r="F739" s="1363"/>
      <c r="G739" s="1370"/>
      <c r="H739" s="1371"/>
      <c r="I739" s="1371"/>
      <c r="J739" s="1372"/>
      <c r="K739" s="1588"/>
      <c r="L739" s="1589"/>
      <c r="M739" s="1589"/>
      <c r="N739" s="1590"/>
      <c r="O739" s="1382"/>
      <c r="P739" s="1383"/>
      <c r="Q739" s="1383"/>
      <c r="R739" s="1383"/>
      <c r="S739" s="1384"/>
      <c r="T739" s="1382"/>
      <c r="U739" s="1383"/>
      <c r="V739" s="1383"/>
      <c r="W739" s="1384"/>
      <c r="X739" s="1364">
        <f t="shared" si="59"/>
        <v>0</v>
      </c>
      <c r="Y739" s="1365"/>
      <c r="Z739" s="1365"/>
      <c r="AA739" s="1365"/>
      <c r="AB739" s="1366"/>
      <c r="AC739" s="1385"/>
      <c r="AD739" s="1386"/>
      <c r="AE739" s="1386"/>
      <c r="AF739" s="1386"/>
      <c r="AG739" s="1387"/>
      <c r="AH739" s="1367" t="str">
        <f t="shared" si="60"/>
        <v/>
      </c>
      <c r="AI739" s="1368"/>
      <c r="AJ739" s="1369"/>
      <c r="AK739" s="1361" t="s">
        <v>600</v>
      </c>
      <c r="AL739" s="1362"/>
      <c r="AM739" s="1362"/>
      <c r="AN739" s="1362"/>
      <c r="AO739" s="1363"/>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61"/>
      <c r="C740" s="1362"/>
      <c r="D740" s="1362"/>
      <c r="E740" s="1362"/>
      <c r="F740" s="1363"/>
      <c r="G740" s="1370"/>
      <c r="H740" s="1371"/>
      <c r="I740" s="1371"/>
      <c r="J740" s="1372"/>
      <c r="K740" s="1588"/>
      <c r="L740" s="1589"/>
      <c r="M740" s="1589"/>
      <c r="N740" s="1590"/>
      <c r="O740" s="1382"/>
      <c r="P740" s="1383"/>
      <c r="Q740" s="1383"/>
      <c r="R740" s="1383"/>
      <c r="S740" s="1384"/>
      <c r="T740" s="1382"/>
      <c r="U740" s="1383"/>
      <c r="V740" s="1383"/>
      <c r="W740" s="1384"/>
      <c r="X740" s="1364">
        <f t="shared" si="59"/>
        <v>0</v>
      </c>
      <c r="Y740" s="1365"/>
      <c r="Z740" s="1365"/>
      <c r="AA740" s="1365"/>
      <c r="AB740" s="1366"/>
      <c r="AC740" s="1385"/>
      <c r="AD740" s="1386"/>
      <c r="AE740" s="1386"/>
      <c r="AF740" s="1386"/>
      <c r="AG740" s="1387"/>
      <c r="AH740" s="1367" t="str">
        <f t="shared" si="60"/>
        <v/>
      </c>
      <c r="AI740" s="1368"/>
      <c r="AJ740" s="1369"/>
      <c r="AK740" s="1361" t="s">
        <v>600</v>
      </c>
      <c r="AL740" s="1362"/>
      <c r="AM740" s="1362"/>
      <c r="AN740" s="1362"/>
      <c r="AO740" s="1363"/>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61"/>
      <c r="C741" s="1362"/>
      <c r="D741" s="1362"/>
      <c r="E741" s="1362"/>
      <c r="F741" s="1363"/>
      <c r="G741" s="1370"/>
      <c r="H741" s="1371"/>
      <c r="I741" s="1371"/>
      <c r="J741" s="1372"/>
      <c r="K741" s="1588"/>
      <c r="L741" s="1589"/>
      <c r="M741" s="1589"/>
      <c r="N741" s="1590"/>
      <c r="O741" s="1382"/>
      <c r="P741" s="1383"/>
      <c r="Q741" s="1383"/>
      <c r="R741" s="1383"/>
      <c r="S741" s="1384"/>
      <c r="T741" s="1382"/>
      <c r="U741" s="1383"/>
      <c r="V741" s="1383"/>
      <c r="W741" s="1384"/>
      <c r="X741" s="1364">
        <f t="shared" si="59"/>
        <v>0</v>
      </c>
      <c r="Y741" s="1365"/>
      <c r="Z741" s="1365"/>
      <c r="AA741" s="1365"/>
      <c r="AB741" s="1366"/>
      <c r="AC741" s="1385"/>
      <c r="AD741" s="1386"/>
      <c r="AE741" s="1386"/>
      <c r="AF741" s="1386"/>
      <c r="AG741" s="1387"/>
      <c r="AH741" s="1367" t="str">
        <f t="shared" si="60"/>
        <v/>
      </c>
      <c r="AI741" s="1368"/>
      <c r="AJ741" s="1369"/>
      <c r="AK741" s="1361" t="s">
        <v>600</v>
      </c>
      <c r="AL741" s="1362"/>
      <c r="AM741" s="1362"/>
      <c r="AN741" s="1362"/>
      <c r="AO741" s="1363"/>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61"/>
      <c r="C742" s="1362"/>
      <c r="D742" s="1362"/>
      <c r="E742" s="1362"/>
      <c r="F742" s="1363"/>
      <c r="G742" s="1370"/>
      <c r="H742" s="1371"/>
      <c r="I742" s="1371"/>
      <c r="J742" s="1372"/>
      <c r="K742" s="1588"/>
      <c r="L742" s="1589"/>
      <c r="M742" s="1589"/>
      <c r="N742" s="1590"/>
      <c r="O742" s="1382"/>
      <c r="P742" s="1383"/>
      <c r="Q742" s="1383"/>
      <c r="R742" s="1383"/>
      <c r="S742" s="1384"/>
      <c r="T742" s="1382"/>
      <c r="U742" s="1383"/>
      <c r="V742" s="1383"/>
      <c r="W742" s="1384"/>
      <c r="X742" s="1364">
        <f t="shared" ref="X742:X751" si="61">O742+T742</f>
        <v>0</v>
      </c>
      <c r="Y742" s="1365"/>
      <c r="Z742" s="1365"/>
      <c r="AA742" s="1365"/>
      <c r="AB742" s="1366"/>
      <c r="AC742" s="1385"/>
      <c r="AD742" s="1386"/>
      <c r="AE742" s="1386"/>
      <c r="AF742" s="1386"/>
      <c r="AG742" s="1387"/>
      <c r="AH742" s="1367" t="str">
        <f t="shared" si="60"/>
        <v/>
      </c>
      <c r="AI742" s="1368"/>
      <c r="AJ742" s="1369"/>
      <c r="AK742" s="1361" t="s">
        <v>600</v>
      </c>
      <c r="AL742" s="1362"/>
      <c r="AM742" s="1362"/>
      <c r="AN742" s="1362"/>
      <c r="AO742" s="1363"/>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61"/>
      <c r="C743" s="1362"/>
      <c r="D743" s="1362"/>
      <c r="E743" s="1362"/>
      <c r="F743" s="1363"/>
      <c r="G743" s="1370"/>
      <c r="H743" s="1371"/>
      <c r="I743" s="1371"/>
      <c r="J743" s="1372"/>
      <c r="K743" s="1588"/>
      <c r="L743" s="1589"/>
      <c r="M743" s="1589"/>
      <c r="N743" s="1590"/>
      <c r="O743" s="1382"/>
      <c r="P743" s="1383"/>
      <c r="Q743" s="1383"/>
      <c r="R743" s="1383"/>
      <c r="S743" s="1384"/>
      <c r="T743" s="1382"/>
      <c r="U743" s="1383"/>
      <c r="V743" s="1383"/>
      <c r="W743" s="1384"/>
      <c r="X743" s="1364">
        <f t="shared" si="61"/>
        <v>0</v>
      </c>
      <c r="Y743" s="1365"/>
      <c r="Z743" s="1365"/>
      <c r="AA743" s="1365"/>
      <c r="AB743" s="1366"/>
      <c r="AC743" s="1385"/>
      <c r="AD743" s="1386"/>
      <c r="AE743" s="1386"/>
      <c r="AF743" s="1386"/>
      <c r="AG743" s="1387"/>
      <c r="AH743" s="1367" t="str">
        <f t="shared" si="60"/>
        <v/>
      </c>
      <c r="AI743" s="1368"/>
      <c r="AJ743" s="1369"/>
      <c r="AK743" s="1361" t="s">
        <v>600</v>
      </c>
      <c r="AL743" s="1362"/>
      <c r="AM743" s="1362"/>
      <c r="AN743" s="1362"/>
      <c r="AO743" s="1363"/>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61"/>
      <c r="C744" s="1362"/>
      <c r="D744" s="1362"/>
      <c r="E744" s="1362"/>
      <c r="F744" s="1363"/>
      <c r="G744" s="1370"/>
      <c r="H744" s="1371"/>
      <c r="I744" s="1371"/>
      <c r="J744" s="1372"/>
      <c r="K744" s="1588"/>
      <c r="L744" s="1589"/>
      <c r="M744" s="1589"/>
      <c r="N744" s="1590"/>
      <c r="O744" s="1382"/>
      <c r="P744" s="1383"/>
      <c r="Q744" s="1383"/>
      <c r="R744" s="1383"/>
      <c r="S744" s="1384"/>
      <c r="T744" s="1382"/>
      <c r="U744" s="1383"/>
      <c r="V744" s="1383"/>
      <c r="W744" s="1384"/>
      <c r="X744" s="1364">
        <f t="shared" si="61"/>
        <v>0</v>
      </c>
      <c r="Y744" s="1365"/>
      <c r="Z744" s="1365"/>
      <c r="AA744" s="1365"/>
      <c r="AB744" s="1366"/>
      <c r="AC744" s="1385"/>
      <c r="AD744" s="1386"/>
      <c r="AE744" s="1386"/>
      <c r="AF744" s="1386"/>
      <c r="AG744" s="1387"/>
      <c r="AH744" s="1367" t="str">
        <f t="shared" si="60"/>
        <v/>
      </c>
      <c r="AI744" s="1368"/>
      <c r="AJ744" s="1369"/>
      <c r="AK744" s="1361" t="s">
        <v>600</v>
      </c>
      <c r="AL744" s="1362"/>
      <c r="AM744" s="1362"/>
      <c r="AN744" s="1362"/>
      <c r="AO744" s="1363"/>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61"/>
      <c r="C745" s="1362"/>
      <c r="D745" s="1362"/>
      <c r="E745" s="1362"/>
      <c r="F745" s="1363"/>
      <c r="G745" s="1370"/>
      <c r="H745" s="1371"/>
      <c r="I745" s="1371"/>
      <c r="J745" s="1372"/>
      <c r="K745" s="1588"/>
      <c r="L745" s="1589"/>
      <c r="M745" s="1589"/>
      <c r="N745" s="1590"/>
      <c r="O745" s="1382"/>
      <c r="P745" s="1383"/>
      <c r="Q745" s="1383"/>
      <c r="R745" s="1383"/>
      <c r="S745" s="1384"/>
      <c r="T745" s="1382"/>
      <c r="U745" s="1383"/>
      <c r="V745" s="1383"/>
      <c r="W745" s="1384"/>
      <c r="X745" s="1364">
        <f t="shared" si="61"/>
        <v>0</v>
      </c>
      <c r="Y745" s="1365"/>
      <c r="Z745" s="1365"/>
      <c r="AA745" s="1365"/>
      <c r="AB745" s="1366"/>
      <c r="AC745" s="1385"/>
      <c r="AD745" s="1386"/>
      <c r="AE745" s="1386"/>
      <c r="AF745" s="1386"/>
      <c r="AG745" s="1387"/>
      <c r="AH745" s="1367" t="str">
        <f t="shared" si="60"/>
        <v/>
      </c>
      <c r="AI745" s="1368"/>
      <c r="AJ745" s="1369"/>
      <c r="AK745" s="1361" t="s">
        <v>600</v>
      </c>
      <c r="AL745" s="1362"/>
      <c r="AM745" s="1362"/>
      <c r="AN745" s="1362"/>
      <c r="AO745" s="1363"/>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61"/>
      <c r="C746" s="1362"/>
      <c r="D746" s="1362"/>
      <c r="E746" s="1362"/>
      <c r="F746" s="1363"/>
      <c r="G746" s="1370"/>
      <c r="H746" s="1371"/>
      <c r="I746" s="1371"/>
      <c r="J746" s="1372"/>
      <c r="K746" s="1588"/>
      <c r="L746" s="1589"/>
      <c r="M746" s="1589"/>
      <c r="N746" s="1590"/>
      <c r="O746" s="1382"/>
      <c r="P746" s="1383"/>
      <c r="Q746" s="1383"/>
      <c r="R746" s="1383"/>
      <c r="S746" s="1384"/>
      <c r="T746" s="1382"/>
      <c r="U746" s="1383"/>
      <c r="V746" s="1383"/>
      <c r="W746" s="1384"/>
      <c r="X746" s="1364">
        <f t="shared" si="61"/>
        <v>0</v>
      </c>
      <c r="Y746" s="1365"/>
      <c r="Z746" s="1365"/>
      <c r="AA746" s="1365"/>
      <c r="AB746" s="1366"/>
      <c r="AC746" s="1385"/>
      <c r="AD746" s="1386"/>
      <c r="AE746" s="1386"/>
      <c r="AF746" s="1386"/>
      <c r="AG746" s="1387"/>
      <c r="AH746" s="1367" t="str">
        <f t="shared" si="60"/>
        <v/>
      </c>
      <c r="AI746" s="1368"/>
      <c r="AJ746" s="1369"/>
      <c r="AK746" s="1361" t="s">
        <v>600</v>
      </c>
      <c r="AL746" s="1362"/>
      <c r="AM746" s="1362"/>
      <c r="AN746" s="1362"/>
      <c r="AO746" s="1363"/>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61"/>
      <c r="C747" s="1362"/>
      <c r="D747" s="1362"/>
      <c r="E747" s="1362"/>
      <c r="F747" s="1363"/>
      <c r="G747" s="1370"/>
      <c r="H747" s="1371"/>
      <c r="I747" s="1371"/>
      <c r="J747" s="1372"/>
      <c r="K747" s="1588"/>
      <c r="L747" s="1589"/>
      <c r="M747" s="1589"/>
      <c r="N747" s="1590"/>
      <c r="O747" s="1382"/>
      <c r="P747" s="1383"/>
      <c r="Q747" s="1383"/>
      <c r="R747" s="1383"/>
      <c r="S747" s="1384"/>
      <c r="T747" s="1382"/>
      <c r="U747" s="1383"/>
      <c r="V747" s="1383"/>
      <c r="W747" s="1384"/>
      <c r="X747" s="1364">
        <f t="shared" si="61"/>
        <v>0</v>
      </c>
      <c r="Y747" s="1365"/>
      <c r="Z747" s="1365"/>
      <c r="AA747" s="1365"/>
      <c r="AB747" s="1366"/>
      <c r="AC747" s="1385"/>
      <c r="AD747" s="1386"/>
      <c r="AE747" s="1386"/>
      <c r="AF747" s="1386"/>
      <c r="AG747" s="1387"/>
      <c r="AH747" s="1367" t="str">
        <f t="shared" si="60"/>
        <v/>
      </c>
      <c r="AI747" s="1368"/>
      <c r="AJ747" s="1369"/>
      <c r="AK747" s="1361" t="s">
        <v>600</v>
      </c>
      <c r="AL747" s="1362"/>
      <c r="AM747" s="1362"/>
      <c r="AN747" s="1362"/>
      <c r="AO747" s="1363"/>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61"/>
      <c r="C748" s="1362"/>
      <c r="D748" s="1362"/>
      <c r="E748" s="1362"/>
      <c r="F748" s="1363"/>
      <c r="G748" s="1370"/>
      <c r="H748" s="1371"/>
      <c r="I748" s="1371"/>
      <c r="J748" s="1372"/>
      <c r="K748" s="1588"/>
      <c r="L748" s="1589"/>
      <c r="M748" s="1589"/>
      <c r="N748" s="1590"/>
      <c r="O748" s="1382"/>
      <c r="P748" s="1383"/>
      <c r="Q748" s="1383"/>
      <c r="R748" s="1383"/>
      <c r="S748" s="1384"/>
      <c r="T748" s="1382"/>
      <c r="U748" s="1383"/>
      <c r="V748" s="1383"/>
      <c r="W748" s="1384"/>
      <c r="X748" s="1364">
        <f t="shared" si="61"/>
        <v>0</v>
      </c>
      <c r="Y748" s="1365"/>
      <c r="Z748" s="1365"/>
      <c r="AA748" s="1365"/>
      <c r="AB748" s="1366"/>
      <c r="AC748" s="1385"/>
      <c r="AD748" s="1386"/>
      <c r="AE748" s="1386"/>
      <c r="AF748" s="1386"/>
      <c r="AG748" s="1387"/>
      <c r="AH748" s="1367" t="str">
        <f t="shared" si="60"/>
        <v/>
      </c>
      <c r="AI748" s="1368"/>
      <c r="AJ748" s="1369"/>
      <c r="AK748" s="1361" t="s">
        <v>600</v>
      </c>
      <c r="AL748" s="1362"/>
      <c r="AM748" s="1362"/>
      <c r="AN748" s="1362"/>
      <c r="AO748" s="1363"/>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61"/>
      <c r="C749" s="1362"/>
      <c r="D749" s="1362"/>
      <c r="E749" s="1362"/>
      <c r="F749" s="1363"/>
      <c r="G749" s="1370"/>
      <c r="H749" s="1371"/>
      <c r="I749" s="1371"/>
      <c r="J749" s="1372"/>
      <c r="K749" s="1588"/>
      <c r="L749" s="1589"/>
      <c r="M749" s="1589"/>
      <c r="N749" s="1590"/>
      <c r="O749" s="1382"/>
      <c r="P749" s="1383"/>
      <c r="Q749" s="1383"/>
      <c r="R749" s="1383"/>
      <c r="S749" s="1384"/>
      <c r="T749" s="1382"/>
      <c r="U749" s="1383"/>
      <c r="V749" s="1383"/>
      <c r="W749" s="1384"/>
      <c r="X749" s="1364">
        <f t="shared" si="61"/>
        <v>0</v>
      </c>
      <c r="Y749" s="1365"/>
      <c r="Z749" s="1365"/>
      <c r="AA749" s="1365"/>
      <c r="AB749" s="1366"/>
      <c r="AC749" s="1385"/>
      <c r="AD749" s="1386"/>
      <c r="AE749" s="1386"/>
      <c r="AF749" s="1386"/>
      <c r="AG749" s="1387"/>
      <c r="AH749" s="1367" t="str">
        <f t="shared" si="60"/>
        <v/>
      </c>
      <c r="AI749" s="1368"/>
      <c r="AJ749" s="1369"/>
      <c r="AK749" s="1361" t="s">
        <v>600</v>
      </c>
      <c r="AL749" s="1362"/>
      <c r="AM749" s="1362"/>
      <c r="AN749" s="1362"/>
      <c r="AO749" s="1363"/>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61"/>
      <c r="C750" s="1362"/>
      <c r="D750" s="1362"/>
      <c r="E750" s="1362"/>
      <c r="F750" s="1363"/>
      <c r="G750" s="1370"/>
      <c r="H750" s="1371"/>
      <c r="I750" s="1371"/>
      <c r="J750" s="1372"/>
      <c r="K750" s="1588"/>
      <c r="L750" s="1589"/>
      <c r="M750" s="1589"/>
      <c r="N750" s="1590"/>
      <c r="O750" s="1382"/>
      <c r="P750" s="1383"/>
      <c r="Q750" s="1383"/>
      <c r="R750" s="1383"/>
      <c r="S750" s="1384"/>
      <c r="T750" s="1382"/>
      <c r="U750" s="1383"/>
      <c r="V750" s="1383"/>
      <c r="W750" s="1384"/>
      <c r="X750" s="1364">
        <f t="shared" si="61"/>
        <v>0</v>
      </c>
      <c r="Y750" s="1365"/>
      <c r="Z750" s="1365"/>
      <c r="AA750" s="1365"/>
      <c r="AB750" s="1366"/>
      <c r="AC750" s="1385"/>
      <c r="AD750" s="1386"/>
      <c r="AE750" s="1386"/>
      <c r="AF750" s="1386"/>
      <c r="AG750" s="1387"/>
      <c r="AH750" s="1367" t="str">
        <f t="shared" si="60"/>
        <v/>
      </c>
      <c r="AI750" s="1368"/>
      <c r="AJ750" s="1369"/>
      <c r="AK750" s="1361" t="s">
        <v>600</v>
      </c>
      <c r="AL750" s="1362"/>
      <c r="AM750" s="1362"/>
      <c r="AN750" s="1362"/>
      <c r="AO750" s="1363"/>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61"/>
      <c r="C751" s="1362"/>
      <c r="D751" s="1362"/>
      <c r="E751" s="1362"/>
      <c r="F751" s="1363"/>
      <c r="G751" s="1370"/>
      <c r="H751" s="1371"/>
      <c r="I751" s="1371"/>
      <c r="J751" s="1372"/>
      <c r="K751" s="1588"/>
      <c r="L751" s="1589"/>
      <c r="M751" s="1589"/>
      <c r="N751" s="1590"/>
      <c r="O751" s="1382"/>
      <c r="P751" s="1383"/>
      <c r="Q751" s="1383"/>
      <c r="R751" s="1383"/>
      <c r="S751" s="1384"/>
      <c r="T751" s="1382"/>
      <c r="U751" s="1383"/>
      <c r="V751" s="1383"/>
      <c r="W751" s="1384"/>
      <c r="X751" s="1364">
        <f t="shared" si="61"/>
        <v>0</v>
      </c>
      <c r="Y751" s="1365"/>
      <c r="Z751" s="1365"/>
      <c r="AA751" s="1365"/>
      <c r="AB751" s="1366"/>
      <c r="AC751" s="1385"/>
      <c r="AD751" s="1386"/>
      <c r="AE751" s="1386"/>
      <c r="AF751" s="1386"/>
      <c r="AG751" s="1387"/>
      <c r="AH751" s="1367" t="str">
        <f t="shared" si="60"/>
        <v/>
      </c>
      <c r="AI751" s="1368"/>
      <c r="AJ751" s="1369"/>
      <c r="AK751" s="1361" t="s">
        <v>600</v>
      </c>
      <c r="AL751" s="1362"/>
      <c r="AM751" s="1362"/>
      <c r="AN751" s="1362"/>
      <c r="AO751" s="1363"/>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61"/>
      <c r="C752" s="1362"/>
      <c r="D752" s="1362"/>
      <c r="E752" s="1362"/>
      <c r="F752" s="1363"/>
      <c r="G752" s="1370"/>
      <c r="H752" s="1371"/>
      <c r="I752" s="1371"/>
      <c r="J752" s="1372"/>
      <c r="K752" s="1588"/>
      <c r="L752" s="1589"/>
      <c r="M752" s="1589"/>
      <c r="N752" s="1590"/>
      <c r="O752" s="1382"/>
      <c r="P752" s="1383"/>
      <c r="Q752" s="1383"/>
      <c r="R752" s="1383"/>
      <c r="S752" s="1384"/>
      <c r="T752" s="1382"/>
      <c r="U752" s="1383"/>
      <c r="V752" s="1383"/>
      <c r="W752" s="1384"/>
      <c r="X752" s="1364">
        <f>O752+T752</f>
        <v>0</v>
      </c>
      <c r="Y752" s="1365"/>
      <c r="Z752" s="1365"/>
      <c r="AA752" s="1365"/>
      <c r="AB752" s="1366"/>
      <c r="AC752" s="1385"/>
      <c r="AD752" s="1386"/>
      <c r="AE752" s="1386"/>
      <c r="AF752" s="1386"/>
      <c r="AG752" s="1387"/>
      <c r="AH752" s="1367" t="str">
        <f>IF($AC752&gt;0,($X752/$BA701), "")</f>
        <v/>
      </c>
      <c r="AI752" s="1368"/>
      <c r="AJ752" s="1369"/>
      <c r="AK752" s="1361" t="s">
        <v>600</v>
      </c>
      <c r="AL752" s="1362"/>
      <c r="AM752" s="1362"/>
      <c r="AN752" s="1362"/>
      <c r="AO752" s="1363"/>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625" t="s">
        <v>125</v>
      </c>
      <c r="C753" s="1626"/>
      <c r="D753" s="1626"/>
      <c r="E753" s="1626"/>
      <c r="F753" s="1627"/>
      <c r="G753" s="1878">
        <f>SUM(G718:G752)</f>
        <v>145</v>
      </c>
      <c r="H753" s="1879"/>
      <c r="I753" s="1879"/>
      <c r="J753" s="1880"/>
      <c r="K753" s="937" t="s">
        <v>124</v>
      </c>
      <c r="L753" s="5"/>
      <c r="M753" s="5"/>
      <c r="N753" s="46"/>
      <c r="O753" s="1364">
        <f>SUMPRODUCT(G718:G752,O718:O752)</f>
        <v>234159</v>
      </c>
      <c r="P753" s="1365"/>
      <c r="Q753" s="1365"/>
      <c r="R753" s="1365"/>
      <c r="S753" s="1366"/>
      <c r="T753"/>
      <c r="U753"/>
      <c r="V753"/>
      <c r="W753"/>
      <c r="X753" s="939" t="s">
        <v>916</v>
      </c>
      <c r="Y753" s="938"/>
      <c r="Z753" s="938"/>
      <c r="AA753" s="938"/>
      <c r="AB753" s="940"/>
      <c r="AC753" s="1711">
        <f>BI703</f>
        <v>0.5</v>
      </c>
      <c r="AD753" s="1712"/>
      <c r="AE753" s="1712"/>
      <c r="AF753" s="1712"/>
      <c r="AG753" s="1713"/>
      <c r="AH753" s="1711">
        <f>IFERROR(BV703,"")</f>
        <v>0.48937952650265659</v>
      </c>
      <c r="AI753" s="1712"/>
      <c r="AJ753" s="1713"/>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719" t="s">
        <v>2183</v>
      </c>
      <c r="C754" s="1719"/>
      <c r="D754" s="1719"/>
      <c r="E754" s="1719"/>
      <c r="F754" s="1719"/>
      <c r="G754" s="1719"/>
      <c r="H754" s="1719"/>
      <c r="I754" s="1719"/>
      <c r="J754" s="1719"/>
      <c r="K754" s="1719"/>
      <c r="L754" s="1719"/>
      <c r="M754" s="1719"/>
      <c r="N754" s="1719"/>
      <c r="O754" s="1719"/>
      <c r="P754" s="1719"/>
      <c r="Q754" s="1719"/>
      <c r="R754" s="1719"/>
      <c r="S754" s="1719"/>
      <c r="T754" s="1719"/>
      <c r="U754" s="1719"/>
      <c r="V754" s="1719"/>
      <c r="W754" s="1719"/>
      <c r="X754" s="1719"/>
      <c r="Y754" s="1719"/>
      <c r="Z754" s="1719"/>
      <c r="AA754" s="1719"/>
      <c r="AB754" s="1719"/>
      <c r="AC754" s="1719"/>
      <c r="AD754" s="1719"/>
      <c r="AE754" s="1719"/>
      <c r="AF754" s="1719"/>
      <c r="AG754" s="1719"/>
      <c r="AH754" s="1719"/>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719"/>
      <c r="C755" s="1719"/>
      <c r="D755" s="1719"/>
      <c r="E755" s="1719"/>
      <c r="F755" s="1719"/>
      <c r="G755" s="1719"/>
      <c r="H755" s="1719"/>
      <c r="I755" s="1719"/>
      <c r="J755" s="1719"/>
      <c r="K755" s="1719"/>
      <c r="L755" s="1719"/>
      <c r="M755" s="1719"/>
      <c r="N755" s="1719"/>
      <c r="O755" s="1719"/>
      <c r="P755" s="1719"/>
      <c r="Q755" s="1719"/>
      <c r="R755" s="1719"/>
      <c r="S755" s="1719"/>
      <c r="T755" s="1719"/>
      <c r="U755" s="1719"/>
      <c r="V755" s="1719"/>
      <c r="W755" s="1719"/>
      <c r="X755" s="1719"/>
      <c r="Y755" s="1719"/>
      <c r="Z755" s="1719"/>
      <c r="AA755" s="1719"/>
      <c r="AB755" s="1719"/>
      <c r="AC755" s="1719"/>
      <c r="AD755" s="1719"/>
      <c r="AE755" s="1719"/>
      <c r="AF755" s="1719"/>
      <c r="AG755" s="1719"/>
      <c r="AH755" s="1719"/>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2181</v>
      </c>
      <c r="D756" s="1067"/>
      <c r="E756" s="1067"/>
      <c r="F756" s="1067"/>
      <c r="G756" s="1068"/>
      <c r="H756" s="1068"/>
      <c r="I756" s="1068"/>
      <c r="J756" s="1068"/>
      <c r="K756" s="1067"/>
      <c r="L756" s="1067"/>
      <c r="M756" s="1067"/>
      <c r="N756" s="1067"/>
      <c r="O756" s="1410">
        <f>CS634</f>
        <v>269</v>
      </c>
      <c r="P756" s="1410"/>
      <c r="Q756" s="1410"/>
      <c r="R756" s="1410"/>
      <c r="S756" s="1004"/>
      <c r="T756" s="1004"/>
      <c r="U756" s="118" t="s">
        <v>2182</v>
      </c>
      <c r="V756" s="1067"/>
      <c r="W756" s="1067"/>
      <c r="X756" s="1067"/>
      <c r="Y756" s="1068"/>
      <c r="Z756" s="1068"/>
      <c r="AA756" s="1068"/>
      <c r="AB756" s="1068"/>
      <c r="AC756" s="1067"/>
      <c r="AD756" s="1067"/>
      <c r="AE756" s="1067"/>
      <c r="AF756" s="1067"/>
      <c r="AG756" s="1753"/>
      <c r="AH756" s="1753"/>
      <c r="AI756" s="1753"/>
      <c r="AJ756" s="1753"/>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76" t="str">
        <f>IF(G753&lt;&gt;AG440,"! Total Low-Income Units in the Unit Mix Table above does not match the number of Total Low-Income Units on row #"&amp;TEXT(ROW(D440),"#"),"")</f>
        <v/>
      </c>
      <c r="D757" s="1876"/>
      <c r="E757" s="1876"/>
      <c r="F757" s="1876"/>
      <c r="G757" s="1876"/>
      <c r="H757" s="1876"/>
      <c r="I757" s="1876"/>
      <c r="J757" s="1876"/>
      <c r="K757" s="1876"/>
      <c r="L757" s="1876"/>
      <c r="M757" s="1876"/>
      <c r="N757" s="1876"/>
      <c r="O757" s="1876"/>
      <c r="P757" s="1876"/>
      <c r="Q757" s="1876"/>
      <c r="R757" s="1876"/>
      <c r="S757" s="1876"/>
      <c r="T757" s="1876"/>
      <c r="U757" s="1876"/>
      <c r="V757" s="1876"/>
      <c r="W757" s="1876"/>
      <c r="X757" s="1876"/>
      <c r="Y757" s="1876"/>
      <c r="Z757" s="1876"/>
      <c r="AA757" s="1876"/>
      <c r="AB757" s="1876"/>
      <c r="AC757" s="1876"/>
      <c r="AD757" s="1876"/>
      <c r="AE757" s="1876"/>
      <c r="AF757" s="1876"/>
      <c r="AG757" s="1876"/>
      <c r="AH757" s="1876"/>
      <c r="AI757" s="1876"/>
      <c r="AJ757" s="1876"/>
      <c r="AK757" s="1876"/>
      <c r="AL757" s="1876"/>
      <c r="AM757" s="1876"/>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76"/>
      <c r="D758" s="1876"/>
      <c r="E758" s="1876"/>
      <c r="F758" s="1876"/>
      <c r="G758" s="1876"/>
      <c r="H758" s="1876"/>
      <c r="I758" s="1876"/>
      <c r="J758" s="1876"/>
      <c r="K758" s="1876"/>
      <c r="L758" s="1876"/>
      <c r="M758" s="1876"/>
      <c r="N758" s="1876"/>
      <c r="O758" s="1876"/>
      <c r="P758" s="1876"/>
      <c r="Q758" s="1876"/>
      <c r="R758" s="1876"/>
      <c r="S758" s="1876"/>
      <c r="T758" s="1876"/>
      <c r="U758" s="1876"/>
      <c r="V758" s="1876"/>
      <c r="W758" s="1876"/>
      <c r="X758" s="1876"/>
      <c r="Y758" s="1876"/>
      <c r="Z758" s="1876"/>
      <c r="AA758" s="1876"/>
      <c r="AB758" s="1876"/>
      <c r="AC758" s="1876"/>
      <c r="AD758" s="1876"/>
      <c r="AE758" s="1876"/>
      <c r="AF758" s="1876"/>
      <c r="AG758" s="1876"/>
      <c r="AH758" s="1876"/>
      <c r="AI758" s="1876"/>
      <c r="AJ758" s="1876"/>
      <c r="AK758" s="1876"/>
      <c r="AL758" s="1876"/>
      <c r="AM758" s="1876"/>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2180</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881" t="s">
        <v>600</v>
      </c>
      <c r="AE759" s="1881"/>
      <c r="AF759" s="1881"/>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2405</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8" t="s">
        <v>2406</v>
      </c>
      <c r="D763" s="1278"/>
      <c r="E763" s="1278"/>
      <c r="F763" s="1278"/>
      <c r="G763" s="1278"/>
      <c r="H763" s="1278"/>
      <c r="I763" s="1278"/>
      <c r="J763" s="1278"/>
      <c r="K763" s="1278"/>
      <c r="L763" s="1278"/>
      <c r="M763" s="1278"/>
      <c r="N763" s="1278"/>
      <c r="O763" s="1278"/>
      <c r="P763" s="1278"/>
      <c r="Q763" s="1278"/>
      <c r="R763" s="1278"/>
      <c r="S763" s="1278"/>
      <c r="T763" s="1278"/>
      <c r="U763" s="1278"/>
      <c r="V763" s="1278"/>
      <c r="W763" s="1278"/>
      <c r="X763" s="1278"/>
      <c r="Y763" s="1278"/>
      <c r="Z763" s="1278"/>
      <c r="AA763" s="1278"/>
      <c r="AB763" s="1278"/>
      <c r="AC763" s="1278"/>
      <c r="AD763" s="1278"/>
      <c r="AE763" s="1278"/>
      <c r="AF763" s="1278"/>
      <c r="AG763" s="1278"/>
      <c r="AH763" s="1278"/>
      <c r="AI763" s="1278"/>
      <c r="AJ763" s="1278"/>
      <c r="AK763" s="1278"/>
      <c r="AL763" s="1278"/>
      <c r="AM763" s="1278"/>
      <c r="AN763" s="1278"/>
      <c r="AO763" s="1278"/>
      <c r="AP763" s="1278"/>
      <c r="AQ763" s="1278"/>
      <c r="AR763" s="1278"/>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8"/>
      <c r="D764" s="1278"/>
      <c r="E764" s="1278"/>
      <c r="F764" s="1278"/>
      <c r="G764" s="1278"/>
      <c r="H764" s="1278"/>
      <c r="I764" s="1278"/>
      <c r="J764" s="1278"/>
      <c r="K764" s="1278"/>
      <c r="L764" s="1278"/>
      <c r="M764" s="1278"/>
      <c r="N764" s="1278"/>
      <c r="O764" s="1278"/>
      <c r="P764" s="1278"/>
      <c r="Q764" s="1278"/>
      <c r="R764" s="1278"/>
      <c r="S764" s="1278"/>
      <c r="T764" s="1278"/>
      <c r="U764" s="1278"/>
      <c r="V764" s="1278"/>
      <c r="W764" s="1278"/>
      <c r="X764" s="1278"/>
      <c r="Y764" s="1278"/>
      <c r="Z764" s="1278"/>
      <c r="AA764" s="1278"/>
      <c r="AB764" s="1278"/>
      <c r="AC764" s="1278"/>
      <c r="AD764" s="1278"/>
      <c r="AE764" s="1278"/>
      <c r="AF764" s="1278"/>
      <c r="AG764" s="1278"/>
      <c r="AH764" s="1278"/>
      <c r="AI764" s="1278"/>
      <c r="AJ764" s="1278"/>
      <c r="AK764" s="1278"/>
      <c r="AL764" s="1278"/>
      <c r="AM764" s="1278"/>
      <c r="AN764" s="1278"/>
      <c r="AO764" s="1278"/>
      <c r="AP764" s="1278"/>
      <c r="AQ764" s="1278"/>
      <c r="AR764" s="1278"/>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8"/>
      <c r="D765" s="1278"/>
      <c r="E765" s="1278"/>
      <c r="F765" s="1278"/>
      <c r="G765" s="1278"/>
      <c r="H765" s="1278"/>
      <c r="I765" s="1278"/>
      <c r="J765" s="1278"/>
      <c r="K765" s="1278"/>
      <c r="L765" s="1278"/>
      <c r="M765" s="1278"/>
      <c r="N765" s="1278"/>
      <c r="O765" s="1278"/>
      <c r="P765" s="1278"/>
      <c r="Q765" s="1278"/>
      <c r="R765" s="1278"/>
      <c r="S765" s="1278"/>
      <c r="T765" s="1278"/>
      <c r="U765" s="1278"/>
      <c r="V765" s="1278"/>
      <c r="W765" s="1278"/>
      <c r="X765" s="1278"/>
      <c r="Y765" s="1278"/>
      <c r="Z765" s="1278"/>
      <c r="AA765" s="1278"/>
      <c r="AB765" s="1278"/>
      <c r="AC765" s="1278"/>
      <c r="AD765" s="1278"/>
      <c r="AE765" s="1278"/>
      <c r="AF765" s="1278"/>
      <c r="AG765" s="1278"/>
      <c r="AH765" s="1278"/>
      <c r="AI765" s="1278"/>
      <c r="AJ765" s="1278"/>
      <c r="AK765" s="1278"/>
      <c r="AL765" s="1278"/>
      <c r="AM765" s="1278"/>
      <c r="AN765" s="1278"/>
      <c r="AO765" s="1278"/>
      <c r="AP765" s="1278"/>
      <c r="AQ765" s="1278"/>
      <c r="AR765" s="1278"/>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8" t="s">
        <v>2407</v>
      </c>
      <c r="D766" s="1278"/>
      <c r="E766" s="1278"/>
      <c r="F766" s="1278"/>
      <c r="G766" s="1278"/>
      <c r="H766" s="1278"/>
      <c r="I766" s="1278"/>
      <c r="J766" s="1278"/>
      <c r="K766" s="1278"/>
      <c r="L766" s="1278"/>
      <c r="M766" s="1278"/>
      <c r="N766" s="1278"/>
      <c r="O766" s="1278"/>
      <c r="P766" s="1278"/>
      <c r="Q766" s="1278"/>
      <c r="R766" s="1278"/>
      <c r="S766" s="1278"/>
      <c r="T766" s="1278"/>
      <c r="U766" s="1278"/>
      <c r="V766" s="1278"/>
      <c r="W766" s="1278"/>
      <c r="X766" s="1278"/>
      <c r="Y766" s="1278"/>
      <c r="Z766" s="1278"/>
      <c r="AA766" s="1278"/>
      <c r="AB766" s="1278"/>
      <c r="AC766" s="1278"/>
      <c r="AD766" s="1278"/>
      <c r="AE766" s="1278"/>
      <c r="AF766" s="1278"/>
      <c r="AG766" s="1278"/>
      <c r="AH766" s="1278"/>
      <c r="AI766" s="1278"/>
      <c r="AJ766" s="1278"/>
      <c r="AK766" s="1278"/>
      <c r="AL766" s="1278"/>
      <c r="AM766" s="1278"/>
      <c r="AN766" s="1278"/>
      <c r="AO766" s="1278"/>
      <c r="AP766" s="1278"/>
      <c r="AQ766" s="1278"/>
      <c r="AR766" s="1278"/>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8"/>
      <c r="D767" s="1278"/>
      <c r="E767" s="1278"/>
      <c r="F767" s="1278"/>
      <c r="G767" s="1278"/>
      <c r="H767" s="1278"/>
      <c r="I767" s="1278"/>
      <c r="J767" s="1278"/>
      <c r="K767" s="1278"/>
      <c r="L767" s="1278"/>
      <c r="M767" s="1278"/>
      <c r="N767" s="1278"/>
      <c r="O767" s="1278"/>
      <c r="P767" s="1278"/>
      <c r="Q767" s="1278"/>
      <c r="R767" s="1278"/>
      <c r="S767" s="1278"/>
      <c r="T767" s="1278"/>
      <c r="U767" s="1278"/>
      <c r="V767" s="1278"/>
      <c r="W767" s="1278"/>
      <c r="X767" s="1278"/>
      <c r="Y767" s="1278"/>
      <c r="Z767" s="1278"/>
      <c r="AA767" s="1278"/>
      <c r="AB767" s="1278"/>
      <c r="AC767" s="1278"/>
      <c r="AD767" s="1278"/>
      <c r="AE767" s="1278"/>
      <c r="AF767" s="1278"/>
      <c r="AG767" s="1278"/>
      <c r="AH767" s="1278"/>
      <c r="AI767" s="1278"/>
      <c r="AJ767" s="1278"/>
      <c r="AK767" s="1278"/>
      <c r="AL767" s="1278"/>
      <c r="AM767" s="1278"/>
      <c r="AN767" s="1278"/>
      <c r="AO767" s="1278"/>
      <c r="AP767" s="1278"/>
      <c r="AQ767" s="1278"/>
      <c r="AR767" s="1278"/>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8"/>
      <c r="D768" s="1278"/>
      <c r="E768" s="1278"/>
      <c r="F768" s="1278"/>
      <c r="G768" s="1278"/>
      <c r="H768" s="1278"/>
      <c r="I768" s="1278"/>
      <c r="J768" s="1278"/>
      <c r="K768" s="1278"/>
      <c r="L768" s="1278"/>
      <c r="M768" s="1278"/>
      <c r="N768" s="1278"/>
      <c r="O768" s="1278"/>
      <c r="P768" s="1278"/>
      <c r="Q768" s="1278"/>
      <c r="R768" s="1278"/>
      <c r="S768" s="1278"/>
      <c r="T768" s="1278"/>
      <c r="U768" s="1278"/>
      <c r="V768" s="1278"/>
      <c r="W768" s="1278"/>
      <c r="X768" s="1278"/>
      <c r="Y768" s="1278"/>
      <c r="Z768" s="1278"/>
      <c r="AA768" s="1278"/>
      <c r="AB768" s="1278"/>
      <c r="AC768" s="1278"/>
      <c r="AD768" s="1278"/>
      <c r="AE768" s="1278"/>
      <c r="AF768" s="1278"/>
      <c r="AG768" s="1278"/>
      <c r="AH768" s="1278"/>
      <c r="AI768" s="1278"/>
      <c r="AJ768" s="1278"/>
      <c r="AK768" s="1278"/>
      <c r="AL768" s="1278"/>
      <c r="AM768" s="1278"/>
      <c r="AN768" s="1278"/>
      <c r="AO768" s="1278"/>
      <c r="AP768" s="1278"/>
      <c r="AQ768" s="1278"/>
      <c r="AR768" s="1278"/>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601" t="s">
        <v>390</v>
      </c>
      <c r="K769" s="1374"/>
      <c r="L769" s="1374"/>
      <c r="M769" s="1374"/>
      <c r="N769" s="1375"/>
      <c r="O769" s="1752" t="s">
        <v>286</v>
      </c>
      <c r="P769" s="1752"/>
      <c r="Q769" s="1752"/>
      <c r="R769" s="1752"/>
      <c r="S769" s="1752"/>
      <c r="T769" s="1388" t="s">
        <v>1868</v>
      </c>
      <c r="U769" s="1389"/>
      <c r="V769" s="1389"/>
      <c r="W769" s="1390"/>
      <c r="X769" s="1601" t="s">
        <v>456</v>
      </c>
      <c r="Y769" s="1374"/>
      <c r="Z769" s="1374"/>
      <c r="AA769" s="1374"/>
      <c r="AB769" s="1375"/>
      <c r="AC769" s="1601" t="s">
        <v>287</v>
      </c>
      <c r="AD769" s="1374"/>
      <c r="AE769" s="1374"/>
      <c r="AF769" s="1374"/>
      <c r="AG769" s="1375"/>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76"/>
      <c r="K770" s="1377"/>
      <c r="L770" s="1377"/>
      <c r="M770" s="1377"/>
      <c r="N770" s="1378"/>
      <c r="O770" s="1752"/>
      <c r="P770" s="1752"/>
      <c r="Q770" s="1752"/>
      <c r="R770" s="1752"/>
      <c r="S770" s="1752"/>
      <c r="T770" s="1391"/>
      <c r="U770" s="1392"/>
      <c r="V770" s="1392"/>
      <c r="W770" s="1393"/>
      <c r="X770" s="1376"/>
      <c r="Y770" s="1377"/>
      <c r="Z770" s="1377"/>
      <c r="AA770" s="1377"/>
      <c r="AB770" s="1378"/>
      <c r="AC770" s="1376"/>
      <c r="AD770" s="1377"/>
      <c r="AE770" s="1377"/>
      <c r="AF770" s="1377"/>
      <c r="AG770" s="1378"/>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76"/>
      <c r="K771" s="1377"/>
      <c r="L771" s="1377"/>
      <c r="M771" s="1377"/>
      <c r="N771" s="1378"/>
      <c r="O771" s="1752"/>
      <c r="P771" s="1752"/>
      <c r="Q771" s="1752"/>
      <c r="R771" s="1752"/>
      <c r="S771" s="1752"/>
      <c r="T771" s="1391"/>
      <c r="U771" s="1392"/>
      <c r="V771" s="1392"/>
      <c r="W771" s="1393"/>
      <c r="X771" s="1376"/>
      <c r="Y771" s="1377"/>
      <c r="Z771" s="1377"/>
      <c r="AA771" s="1377"/>
      <c r="AB771" s="1378"/>
      <c r="AC771" s="1376"/>
      <c r="AD771" s="1377"/>
      <c r="AE771" s="1377"/>
      <c r="AF771" s="1377"/>
      <c r="AG771" s="1378"/>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79"/>
      <c r="K772" s="1380"/>
      <c r="L772" s="1380"/>
      <c r="M772" s="1380"/>
      <c r="N772" s="1381"/>
      <c r="O772" s="1752"/>
      <c r="P772" s="1752"/>
      <c r="Q772" s="1752"/>
      <c r="R772" s="1752"/>
      <c r="S772" s="1752"/>
      <c r="T772" s="1638"/>
      <c r="U772" s="1639"/>
      <c r="V772" s="1639"/>
      <c r="W772" s="1640"/>
      <c r="X772" s="1379"/>
      <c r="Y772" s="1380"/>
      <c r="Z772" s="1380"/>
      <c r="AA772" s="1380"/>
      <c r="AB772" s="1381"/>
      <c r="AC772" s="1379"/>
      <c r="AD772" s="1380"/>
      <c r="AE772" s="1380"/>
      <c r="AF772" s="1380"/>
      <c r="AG772" s="1381"/>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61" t="s">
        <v>163</v>
      </c>
      <c r="K773" s="1362"/>
      <c r="L773" s="1362"/>
      <c r="M773" s="1362"/>
      <c r="N773" s="1363"/>
      <c r="O773" s="1518">
        <v>1</v>
      </c>
      <c r="P773" s="1518"/>
      <c r="Q773" s="1518"/>
      <c r="R773" s="1518"/>
      <c r="S773" s="1518"/>
      <c r="T773" s="1588">
        <v>965</v>
      </c>
      <c r="U773" s="1589"/>
      <c r="V773" s="1589"/>
      <c r="W773" s="1590"/>
      <c r="X773" s="1382">
        <v>0</v>
      </c>
      <c r="Y773" s="1383"/>
      <c r="Z773" s="1383"/>
      <c r="AA773" s="1383"/>
      <c r="AB773" s="1384"/>
      <c r="AC773" s="1364">
        <f>X773*O773</f>
        <v>0</v>
      </c>
      <c r="AD773" s="1365"/>
      <c r="AE773" s="1365"/>
      <c r="AF773" s="1365"/>
      <c r="AG773" s="1366"/>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61" t="s">
        <v>164</v>
      </c>
      <c r="K774" s="1362"/>
      <c r="L774" s="1362"/>
      <c r="M774" s="1362"/>
      <c r="N774" s="1363"/>
      <c r="O774" s="1518">
        <v>1</v>
      </c>
      <c r="P774" s="1518"/>
      <c r="Q774" s="1518"/>
      <c r="R774" s="1518"/>
      <c r="S774" s="1518"/>
      <c r="T774" s="1588">
        <v>1130</v>
      </c>
      <c r="U774" s="1589"/>
      <c r="V774" s="1589"/>
      <c r="W774" s="1590"/>
      <c r="X774" s="1382">
        <v>0</v>
      </c>
      <c r="Y774" s="1383"/>
      <c r="Z774" s="1383"/>
      <c r="AA774" s="1383"/>
      <c r="AB774" s="1384"/>
      <c r="AC774" s="1364">
        <f>X774*O774</f>
        <v>0</v>
      </c>
      <c r="AD774" s="1365"/>
      <c r="AE774" s="1365"/>
      <c r="AF774" s="1365"/>
      <c r="AG774" s="1366"/>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61"/>
      <c r="K775" s="1362"/>
      <c r="L775" s="1362"/>
      <c r="M775" s="1362"/>
      <c r="N775" s="1363"/>
      <c r="O775" s="1518"/>
      <c r="P775" s="1518"/>
      <c r="Q775" s="1518"/>
      <c r="R775" s="1518"/>
      <c r="S775" s="1518"/>
      <c r="T775" s="1588"/>
      <c r="U775" s="1589"/>
      <c r="V775" s="1589"/>
      <c r="W775" s="1590"/>
      <c r="X775" s="1382"/>
      <c r="Y775" s="1383"/>
      <c r="Z775" s="1383"/>
      <c r="AA775" s="1383"/>
      <c r="AB775" s="1384"/>
      <c r="AC775" s="1364">
        <f>X775*O775</f>
        <v>0</v>
      </c>
      <c r="AD775" s="1365"/>
      <c r="AE775" s="1365"/>
      <c r="AF775" s="1365"/>
      <c r="AG775" s="1366"/>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61"/>
      <c r="K776" s="1362"/>
      <c r="L776" s="1362"/>
      <c r="M776" s="1362"/>
      <c r="N776" s="1363"/>
      <c r="O776" s="1518"/>
      <c r="P776" s="1518"/>
      <c r="Q776" s="1518"/>
      <c r="R776" s="1518"/>
      <c r="S776" s="1518"/>
      <c r="T776" s="1588"/>
      <c r="U776" s="1589"/>
      <c r="V776" s="1589"/>
      <c r="W776" s="1590"/>
      <c r="X776" s="1382"/>
      <c r="Y776" s="1383"/>
      <c r="Z776" s="1383"/>
      <c r="AA776" s="1383"/>
      <c r="AB776" s="1384"/>
      <c r="AC776" s="1364">
        <f>X776*O776</f>
        <v>0</v>
      </c>
      <c r="AD776" s="1365"/>
      <c r="AE776" s="1365"/>
      <c r="AF776" s="1365"/>
      <c r="AG776" s="1366"/>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625" t="s">
        <v>125</v>
      </c>
      <c r="K777" s="1626"/>
      <c r="L777" s="1626"/>
      <c r="M777" s="1626"/>
      <c r="N777" s="1627"/>
      <c r="O777" s="1414">
        <f>SUM(O773:S776)</f>
        <v>2</v>
      </c>
      <c r="P777" s="1537"/>
      <c r="Q777" s="1537"/>
      <c r="R777" s="1537"/>
      <c r="S777" s="1415"/>
      <c r="X777" s="1625" t="s">
        <v>124</v>
      </c>
      <c r="Y777" s="1626"/>
      <c r="Z777" s="1626"/>
      <c r="AA777" s="1626"/>
      <c r="AB777" s="1627"/>
      <c r="AC777" s="1364">
        <f>SUM(AC773:AG776)</f>
        <v>0</v>
      </c>
      <c r="AD777" s="1365"/>
      <c r="AE777" s="1365"/>
      <c r="AF777" s="1365"/>
      <c r="AG777" s="1366"/>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43" t="s">
        <v>678</v>
      </c>
      <c r="K779" s="1443"/>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2408</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601" t="s">
        <v>390</v>
      </c>
      <c r="K783" s="1374"/>
      <c r="L783" s="1374"/>
      <c r="M783" s="1374"/>
      <c r="N783" s="1375"/>
      <c r="O783" s="1752" t="s">
        <v>286</v>
      </c>
      <c r="P783" s="1752"/>
      <c r="Q783" s="1752"/>
      <c r="R783" s="1752"/>
      <c r="S783" s="1752"/>
      <c r="T783" s="1388" t="s">
        <v>1868</v>
      </c>
      <c r="U783" s="1389"/>
      <c r="V783" s="1389"/>
      <c r="W783" s="1390"/>
      <c r="X783" s="1601" t="s">
        <v>456</v>
      </c>
      <c r="Y783" s="1374"/>
      <c r="Z783" s="1374"/>
      <c r="AA783" s="1374"/>
      <c r="AB783" s="1375"/>
      <c r="AC783" s="1601" t="s">
        <v>287</v>
      </c>
      <c r="AD783" s="1374"/>
      <c r="AE783" s="1374"/>
      <c r="AF783" s="1374"/>
      <c r="AG783" s="1375"/>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76"/>
      <c r="K784" s="1377"/>
      <c r="L784" s="1377"/>
      <c r="M784" s="1377"/>
      <c r="N784" s="1378"/>
      <c r="O784" s="1752"/>
      <c r="P784" s="1752"/>
      <c r="Q784" s="1752"/>
      <c r="R784" s="1752"/>
      <c r="S784" s="1752"/>
      <c r="T784" s="1391"/>
      <c r="U784" s="1392"/>
      <c r="V784" s="1392"/>
      <c r="W784" s="1393"/>
      <c r="X784" s="1376"/>
      <c r="Y784" s="1377"/>
      <c r="Z784" s="1377"/>
      <c r="AA784" s="1377"/>
      <c r="AB784" s="1378"/>
      <c r="AC784" s="1376"/>
      <c r="AD784" s="1377"/>
      <c r="AE784" s="1377"/>
      <c r="AF784" s="1377"/>
      <c r="AG784" s="1378"/>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76"/>
      <c r="K785" s="1377"/>
      <c r="L785" s="1377"/>
      <c r="M785" s="1377"/>
      <c r="N785" s="1378"/>
      <c r="O785" s="1752"/>
      <c r="P785" s="1752"/>
      <c r="Q785" s="1752"/>
      <c r="R785" s="1752"/>
      <c r="S785" s="1752"/>
      <c r="T785" s="1391"/>
      <c r="U785" s="1392"/>
      <c r="V785" s="1392"/>
      <c r="W785" s="1393"/>
      <c r="X785" s="1376"/>
      <c r="Y785" s="1377"/>
      <c r="Z785" s="1377"/>
      <c r="AA785" s="1377"/>
      <c r="AB785" s="1378"/>
      <c r="AC785" s="1376"/>
      <c r="AD785" s="1377"/>
      <c r="AE785" s="1377"/>
      <c r="AF785" s="1377"/>
      <c r="AG785" s="1378"/>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79"/>
      <c r="K786" s="1380"/>
      <c r="L786" s="1380"/>
      <c r="M786" s="1380"/>
      <c r="N786" s="1381"/>
      <c r="O786" s="1752"/>
      <c r="P786" s="1752"/>
      <c r="Q786" s="1752"/>
      <c r="R786" s="1752"/>
      <c r="S786" s="1752"/>
      <c r="T786" s="1638"/>
      <c r="U786" s="1639"/>
      <c r="V786" s="1639"/>
      <c r="W786" s="1640"/>
      <c r="X786" s="1379"/>
      <c r="Y786" s="1380"/>
      <c r="Z786" s="1380"/>
      <c r="AA786" s="1380"/>
      <c r="AB786" s="1381"/>
      <c r="AC786" s="1379"/>
      <c r="AD786" s="1380"/>
      <c r="AE786" s="1380"/>
      <c r="AF786" s="1380"/>
      <c r="AG786" s="1381"/>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61"/>
      <c r="K787" s="1362"/>
      <c r="L787" s="1362"/>
      <c r="M787" s="1362"/>
      <c r="N787" s="1363"/>
      <c r="O787" s="1518"/>
      <c r="P787" s="1518"/>
      <c r="Q787" s="1518"/>
      <c r="R787" s="1518"/>
      <c r="S787" s="1518"/>
      <c r="T787" s="1588"/>
      <c r="U787" s="1589"/>
      <c r="V787" s="1589"/>
      <c r="W787" s="1590"/>
      <c r="X787" s="1382"/>
      <c r="Y787" s="1383"/>
      <c r="Z787" s="1383"/>
      <c r="AA787" s="1383"/>
      <c r="AB787" s="1384"/>
      <c r="AC787" s="1364">
        <f t="shared" ref="AC787:AC796" si="62">X787*O787</f>
        <v>0</v>
      </c>
      <c r="AD787" s="1365"/>
      <c r="AE787" s="1365"/>
      <c r="AF787" s="1365"/>
      <c r="AG787" s="1366"/>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61"/>
      <c r="K788" s="1362"/>
      <c r="L788" s="1362"/>
      <c r="M788" s="1362"/>
      <c r="N788" s="1363"/>
      <c r="O788" s="1518"/>
      <c r="P788" s="1518"/>
      <c r="Q788" s="1518"/>
      <c r="R788" s="1518"/>
      <c r="S788" s="1518"/>
      <c r="T788" s="1588"/>
      <c r="U788" s="1589"/>
      <c r="V788" s="1589"/>
      <c r="W788" s="1590"/>
      <c r="X788" s="1382"/>
      <c r="Y788" s="1383"/>
      <c r="Z788" s="1383"/>
      <c r="AA788" s="1383"/>
      <c r="AB788" s="1384"/>
      <c r="AC788" s="1364">
        <f t="shared" si="62"/>
        <v>0</v>
      </c>
      <c r="AD788" s="1365"/>
      <c r="AE788" s="1365"/>
      <c r="AF788" s="1365"/>
      <c r="AG788" s="1366"/>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61"/>
      <c r="K789" s="1362"/>
      <c r="L789" s="1362"/>
      <c r="M789" s="1362"/>
      <c r="N789" s="1363"/>
      <c r="O789" s="1518"/>
      <c r="P789" s="1518"/>
      <c r="Q789" s="1518"/>
      <c r="R789" s="1518"/>
      <c r="S789" s="1518"/>
      <c r="T789" s="1588"/>
      <c r="U789" s="1589"/>
      <c r="V789" s="1589"/>
      <c r="W789" s="1590"/>
      <c r="X789" s="1382"/>
      <c r="Y789" s="1383"/>
      <c r="Z789" s="1383"/>
      <c r="AA789" s="1383"/>
      <c r="AB789" s="1384"/>
      <c r="AC789" s="1364">
        <f t="shared" si="62"/>
        <v>0</v>
      </c>
      <c r="AD789" s="1365"/>
      <c r="AE789" s="1365"/>
      <c r="AF789" s="1365"/>
      <c r="AG789" s="1366"/>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61"/>
      <c r="K790" s="1362"/>
      <c r="L790" s="1362"/>
      <c r="M790" s="1362"/>
      <c r="N790" s="1363"/>
      <c r="O790" s="1518"/>
      <c r="P790" s="1518"/>
      <c r="Q790" s="1518"/>
      <c r="R790" s="1518"/>
      <c r="S790" s="1518"/>
      <c r="T790" s="1588"/>
      <c r="U790" s="1589"/>
      <c r="V790" s="1589"/>
      <c r="W790" s="1590"/>
      <c r="X790" s="1382"/>
      <c r="Y790" s="1383"/>
      <c r="Z790" s="1383"/>
      <c r="AA790" s="1383"/>
      <c r="AB790" s="1384"/>
      <c r="AC790" s="1364">
        <f t="shared" si="62"/>
        <v>0</v>
      </c>
      <c r="AD790" s="1365"/>
      <c r="AE790" s="1365"/>
      <c r="AF790" s="1365"/>
      <c r="AG790" s="1366"/>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61"/>
      <c r="K791" s="1362"/>
      <c r="L791" s="1362"/>
      <c r="M791" s="1362"/>
      <c r="N791" s="1363"/>
      <c r="O791" s="1518"/>
      <c r="P791" s="1518"/>
      <c r="Q791" s="1518"/>
      <c r="R791" s="1518"/>
      <c r="S791" s="1518"/>
      <c r="T791" s="1588"/>
      <c r="U791" s="1589"/>
      <c r="V791" s="1589"/>
      <c r="W791" s="1590"/>
      <c r="X791" s="1382"/>
      <c r="Y791" s="1383"/>
      <c r="Z791" s="1383"/>
      <c r="AA791" s="1383"/>
      <c r="AB791" s="1384"/>
      <c r="AC791" s="1364">
        <f t="shared" si="62"/>
        <v>0</v>
      </c>
      <c r="AD791" s="1365"/>
      <c r="AE791" s="1365"/>
      <c r="AF791" s="1365"/>
      <c r="AG791" s="1366"/>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61"/>
      <c r="K792" s="1362"/>
      <c r="L792" s="1362"/>
      <c r="M792" s="1362"/>
      <c r="N792" s="1363"/>
      <c r="O792" s="1518"/>
      <c r="P792" s="1518"/>
      <c r="Q792" s="1518"/>
      <c r="R792" s="1518"/>
      <c r="S792" s="1518"/>
      <c r="T792" s="1588"/>
      <c r="U792" s="1589"/>
      <c r="V792" s="1589"/>
      <c r="W792" s="1590"/>
      <c r="X792" s="1382"/>
      <c r="Y792" s="1383"/>
      <c r="Z792" s="1383"/>
      <c r="AA792" s="1383"/>
      <c r="AB792" s="1384"/>
      <c r="AC792" s="1364">
        <f t="shared" si="62"/>
        <v>0</v>
      </c>
      <c r="AD792" s="1365"/>
      <c r="AE792" s="1365"/>
      <c r="AF792" s="1365"/>
      <c r="AG792" s="1366"/>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61"/>
      <c r="K793" s="1362"/>
      <c r="L793" s="1362"/>
      <c r="M793" s="1362"/>
      <c r="N793" s="1363"/>
      <c r="O793" s="1518"/>
      <c r="P793" s="1518"/>
      <c r="Q793" s="1518"/>
      <c r="R793" s="1518"/>
      <c r="S793" s="1518"/>
      <c r="T793" s="1588"/>
      <c r="U793" s="1589"/>
      <c r="V793" s="1589"/>
      <c r="W793" s="1590"/>
      <c r="X793" s="1382"/>
      <c r="Y793" s="1383"/>
      <c r="Z793" s="1383"/>
      <c r="AA793" s="1383"/>
      <c r="AB793" s="1384"/>
      <c r="AC793" s="1364">
        <f t="shared" si="62"/>
        <v>0</v>
      </c>
      <c r="AD793" s="1365"/>
      <c r="AE793" s="1365"/>
      <c r="AF793" s="1365"/>
      <c r="AG793" s="1366"/>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61"/>
      <c r="K794" s="1362"/>
      <c r="L794" s="1362"/>
      <c r="M794" s="1362"/>
      <c r="N794" s="1363"/>
      <c r="O794" s="1518"/>
      <c r="P794" s="1518"/>
      <c r="Q794" s="1518"/>
      <c r="R794" s="1518"/>
      <c r="S794" s="1518"/>
      <c r="T794" s="1588"/>
      <c r="U794" s="1589"/>
      <c r="V794" s="1589"/>
      <c r="W794" s="1590"/>
      <c r="X794" s="1382"/>
      <c r="Y794" s="1383"/>
      <c r="Z794" s="1383"/>
      <c r="AA794" s="1383"/>
      <c r="AB794" s="1384"/>
      <c r="AC794" s="1364">
        <f t="shared" si="62"/>
        <v>0</v>
      </c>
      <c r="AD794" s="1365"/>
      <c r="AE794" s="1365"/>
      <c r="AF794" s="1365"/>
      <c r="AG794" s="1366"/>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61"/>
      <c r="K795" s="1362"/>
      <c r="L795" s="1362"/>
      <c r="M795" s="1362"/>
      <c r="N795" s="1363"/>
      <c r="O795" s="1518"/>
      <c r="P795" s="1518"/>
      <c r="Q795" s="1518"/>
      <c r="R795" s="1518"/>
      <c r="S795" s="1518"/>
      <c r="T795" s="1588"/>
      <c r="U795" s="1589"/>
      <c r="V795" s="1589"/>
      <c r="W795" s="1590"/>
      <c r="X795" s="1382"/>
      <c r="Y795" s="1383"/>
      <c r="Z795" s="1383"/>
      <c r="AA795" s="1383"/>
      <c r="AB795" s="1384"/>
      <c r="AC795" s="1364">
        <f t="shared" si="62"/>
        <v>0</v>
      </c>
      <c r="AD795" s="1365"/>
      <c r="AE795" s="1365"/>
      <c r="AF795" s="1365"/>
      <c r="AG795" s="1366"/>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61"/>
      <c r="K796" s="1362"/>
      <c r="L796" s="1362"/>
      <c r="M796" s="1362"/>
      <c r="N796" s="1363"/>
      <c r="O796" s="1518"/>
      <c r="P796" s="1518"/>
      <c r="Q796" s="1518"/>
      <c r="R796" s="1518"/>
      <c r="S796" s="1518"/>
      <c r="T796" s="1588"/>
      <c r="U796" s="1589"/>
      <c r="V796" s="1589"/>
      <c r="W796" s="1590"/>
      <c r="X796" s="1382"/>
      <c r="Y796" s="1383"/>
      <c r="Z796" s="1383"/>
      <c r="AA796" s="1383"/>
      <c r="AB796" s="1384"/>
      <c r="AC796" s="1364">
        <f t="shared" si="62"/>
        <v>0</v>
      </c>
      <c r="AD796" s="1365"/>
      <c r="AE796" s="1365"/>
      <c r="AF796" s="1365"/>
      <c r="AG796" s="1366"/>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717" t="s">
        <v>478</v>
      </c>
      <c r="BO796" s="1718"/>
      <c r="BP796" s="3"/>
      <c r="BQ796" s="3"/>
      <c r="BR796" s="3"/>
      <c r="BS796" s="14" t="s">
        <v>643</v>
      </c>
      <c r="BT796" s="14"/>
      <c r="BU796" s="14"/>
      <c r="BV796" s="14"/>
      <c r="BW796" s="14"/>
      <c r="BX796" s="14"/>
      <c r="BY796" s="14"/>
      <c r="BZ796" s="14"/>
      <c r="CA796" s="14"/>
      <c r="CB796" s="1714" t="str">
        <f>T189</f>
        <v>San Diego</v>
      </c>
      <c r="CC796" s="1715"/>
      <c r="CD796" s="1715"/>
      <c r="CE796" s="1715"/>
      <c r="CF796" s="1715"/>
      <c r="CG796" s="1715"/>
      <c r="CH796" s="1716"/>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625" t="s">
        <v>125</v>
      </c>
      <c r="K797" s="1626"/>
      <c r="L797" s="1626"/>
      <c r="M797" s="1626"/>
      <c r="N797" s="1627"/>
      <c r="O797" s="1748">
        <f>SUM(O787:S796)</f>
        <v>0</v>
      </c>
      <c r="P797" s="1748"/>
      <c r="Q797" s="1748"/>
      <c r="R797" s="1748"/>
      <c r="S797" s="1748"/>
      <c r="T797"/>
      <c r="U797"/>
      <c r="V797"/>
      <c r="W797"/>
      <c r="X797" s="937" t="s">
        <v>124</v>
      </c>
      <c r="Y797" s="11"/>
      <c r="Z797" s="11"/>
      <c r="AA797" s="11"/>
      <c r="AB797" s="944"/>
      <c r="AC797" s="1364">
        <f>SUM(AC787:AG796)</f>
        <v>0</v>
      </c>
      <c r="AD797" s="1365"/>
      <c r="AE797" s="1365"/>
      <c r="AF797" s="1365"/>
      <c r="AG797" s="1366"/>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16" t="str">
        <f>IF(O797&lt;&gt;AG438,"! Total market rate units in the Unit Mix Table above does not match the number of  market rate units on row #"&amp;TEXT(ROW(D438),"#"),"")</f>
        <v/>
      </c>
      <c r="D798" s="1416"/>
      <c r="E798" s="1416"/>
      <c r="F798" s="1416"/>
      <c r="G798" s="1416"/>
      <c r="H798" s="1416"/>
      <c r="I798" s="1416"/>
      <c r="J798" s="1416"/>
      <c r="K798" s="1416"/>
      <c r="L798" s="1416"/>
      <c r="M798" s="1416"/>
      <c r="N798" s="1416"/>
      <c r="O798" s="1416"/>
      <c r="P798" s="1416"/>
      <c r="Q798" s="1416"/>
      <c r="R798" s="1416"/>
      <c r="S798" s="1416"/>
      <c r="T798" s="1416"/>
      <c r="U798" s="1416"/>
      <c r="V798" s="1416"/>
      <c r="W798" s="1416"/>
      <c r="X798" s="1416"/>
      <c r="Y798" s="1416"/>
      <c r="Z798" s="1416"/>
      <c r="AA798" s="1416"/>
      <c r="AB798" s="1416"/>
      <c r="AC798" s="1416"/>
      <c r="AD798" s="1416"/>
      <c r="AE798" s="1416"/>
      <c r="AF798" s="1416"/>
      <c r="AG798" s="1416"/>
      <c r="AH798" s="1416"/>
      <c r="AI798" s="1416"/>
      <c r="AJ798" s="1416"/>
      <c r="AK798" s="1416"/>
      <c r="AL798" s="1416"/>
      <c r="AM798" s="1416"/>
      <c r="AN798" s="1416"/>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16"/>
      <c r="D799" s="1416"/>
      <c r="E799" s="1416"/>
      <c r="F799" s="1416"/>
      <c r="G799" s="1416"/>
      <c r="H799" s="1416"/>
      <c r="I799" s="1416"/>
      <c r="J799" s="1416"/>
      <c r="K799" s="1416"/>
      <c r="L799" s="1416"/>
      <c r="M799" s="1416"/>
      <c r="N799" s="1416"/>
      <c r="O799" s="1416"/>
      <c r="P799" s="1416"/>
      <c r="Q799" s="1416"/>
      <c r="R799" s="1416"/>
      <c r="S799" s="1416"/>
      <c r="T799" s="1416"/>
      <c r="U799" s="1416"/>
      <c r="V799" s="1416"/>
      <c r="W799" s="1416"/>
      <c r="X799" s="1416"/>
      <c r="Y799" s="1416"/>
      <c r="Z799" s="1416"/>
      <c r="AA799" s="1416"/>
      <c r="AB799" s="1416"/>
      <c r="AC799" s="1416"/>
      <c r="AD799" s="1416"/>
      <c r="AE799" s="1416"/>
      <c r="AF799" s="1416"/>
      <c r="AG799" s="1416"/>
      <c r="AH799" s="1416"/>
      <c r="AI799" s="1416"/>
      <c r="AJ799" s="1416"/>
      <c r="AK799" s="1416"/>
      <c r="AL799" s="1416"/>
      <c r="AM799" s="1416"/>
      <c r="AN799" s="1416"/>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2632</v>
      </c>
      <c r="BP799" s="32"/>
      <c r="BQ799" s="32"/>
      <c r="BR799" s="32"/>
      <c r="BS799" s="32"/>
      <c r="BT799" s="32"/>
      <c r="BU799" s="14"/>
      <c r="BV799" s="31" t="s">
        <v>2633</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633">
        <f>O753+AC777+AC797</f>
        <v>234159</v>
      </c>
      <c r="Z800" s="1633"/>
      <c r="AA800" s="1633"/>
      <c r="AB800" s="1633"/>
      <c r="AC800" s="1633"/>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33">
        <f>(O753+AC777+AC797)*12</f>
        <v>2809908</v>
      </c>
      <c r="Z801" s="1633"/>
      <c r="AA801" s="1633"/>
      <c r="AB801" s="1633"/>
      <c r="AC801" s="1633"/>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727">
        <v>37</v>
      </c>
      <c r="AA806" s="1636"/>
      <c r="AB806" s="1636"/>
      <c r="AC806" s="1636"/>
      <c r="AD806" s="1636"/>
      <c r="AE806" s="1637"/>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635">
        <v>20</v>
      </c>
      <c r="AA807" s="1636"/>
      <c r="AB807" s="1636"/>
      <c r="AC807" s="1636"/>
      <c r="AD807" s="1636"/>
      <c r="AE807" s="1637"/>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54">
        <v>46388</v>
      </c>
      <c r="AA808" s="1675"/>
      <c r="AB808" s="1675"/>
      <c r="AC808" s="1675"/>
      <c r="AD808" s="1675"/>
      <c r="AE808" s="1676"/>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30">
        <f>'Subsidy Contract Calculation'!J40</f>
        <v>725124</v>
      </c>
      <c r="AA809" s="1631"/>
      <c r="AB809" s="1631"/>
      <c r="AC809" s="1631"/>
      <c r="AD809" s="1631"/>
      <c r="AE809" s="1632"/>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399">
        <v>17400</v>
      </c>
      <c r="AA813" s="1400"/>
      <c r="AB813" s="1400"/>
      <c r="AC813" s="1400"/>
      <c r="AD813" s="1400"/>
      <c r="AE813" s="1401"/>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399">
        <v>0</v>
      </c>
      <c r="AA814" s="1400"/>
      <c r="AB814" s="1400"/>
      <c r="AC814" s="1400"/>
      <c r="AD814" s="1400"/>
      <c r="AE814" s="1401"/>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399">
        <v>0</v>
      </c>
      <c r="AA815" s="1400"/>
      <c r="AB815" s="1400"/>
      <c r="AC815" s="1400"/>
      <c r="AD815" s="1400"/>
      <c r="AE815" s="1401"/>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41" t="s">
        <v>335</v>
      </c>
      <c r="Q816" s="1642"/>
      <c r="R816" s="1642"/>
      <c r="S816" s="1642"/>
      <c r="T816" s="1642"/>
      <c r="U816" s="1642"/>
      <c r="V816" s="1642"/>
      <c r="W816" s="1642"/>
      <c r="X816" s="1642"/>
      <c r="Y816" s="1643"/>
      <c r="Z816" s="1399"/>
      <c r="AA816" s="1400"/>
      <c r="AB816" s="1400"/>
      <c r="AC816" s="1400"/>
      <c r="AD816" s="1400"/>
      <c r="AE816" s="1401"/>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30">
        <f>SUM(Z813:AE816)</f>
        <v>17400</v>
      </c>
      <c r="AA817" s="1631"/>
      <c r="AB817" s="1631"/>
      <c r="AC817" s="1631"/>
      <c r="AD817" s="1631"/>
      <c r="AE817" s="1632"/>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630">
        <f>Z817+Y801+Z809</f>
        <v>3552432</v>
      </c>
      <c r="AA818" s="1631"/>
      <c r="AB818" s="1631"/>
      <c r="AC818" s="1631"/>
      <c r="AD818" s="1631"/>
      <c r="AE818" s="1632"/>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44" t="s">
        <v>126</v>
      </c>
      <c r="N823" s="1744"/>
      <c r="O823" s="1744"/>
      <c r="P823" s="1745"/>
      <c r="Q823" s="1629" t="s">
        <v>291</v>
      </c>
      <c r="R823" s="1629"/>
      <c r="S823" s="1629"/>
      <c r="T823" s="1629"/>
      <c r="U823" s="1629" t="s">
        <v>292</v>
      </c>
      <c r="V823" s="1629"/>
      <c r="W823" s="1629"/>
      <c r="X823" s="1629"/>
      <c r="Y823" s="1629" t="s">
        <v>293</v>
      </c>
      <c r="Z823" s="1629"/>
      <c r="AA823" s="1629"/>
      <c r="AB823" s="1629"/>
      <c r="AC823" s="1629" t="s">
        <v>362</v>
      </c>
      <c r="AD823" s="1629"/>
      <c r="AE823" s="1629"/>
      <c r="AF823" s="1629"/>
      <c r="AG823" s="1648" t="s">
        <v>336</v>
      </c>
      <c r="AH823" s="1648"/>
      <c r="AI823" s="1648"/>
      <c r="AJ823" s="1648"/>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46"/>
      <c r="N824" s="1746"/>
      <c r="O824" s="1746"/>
      <c r="P824" s="1747"/>
      <c r="Q824" s="1629"/>
      <c r="R824" s="1629"/>
      <c r="S824" s="1629"/>
      <c r="T824" s="1629"/>
      <c r="U824" s="1629"/>
      <c r="V824" s="1629"/>
      <c r="W824" s="1629"/>
      <c r="X824" s="1629"/>
      <c r="Y824" s="1629"/>
      <c r="Z824" s="1629"/>
      <c r="AA824" s="1629"/>
      <c r="AB824" s="1629"/>
      <c r="AC824" s="1629"/>
      <c r="AD824" s="1629"/>
      <c r="AE824" s="1629"/>
      <c r="AF824" s="1629"/>
      <c r="AG824" s="1648"/>
      <c r="AH824" s="1648"/>
      <c r="AI824" s="1648"/>
      <c r="AJ824" s="1648"/>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628" t="s">
        <v>40</v>
      </c>
      <c r="D825" s="1536"/>
      <c r="E825" s="1536"/>
      <c r="F825" s="1536"/>
      <c r="G825" s="1536"/>
      <c r="H825" s="1536"/>
      <c r="I825" s="48"/>
      <c r="J825" s="48"/>
      <c r="K825" s="48"/>
      <c r="L825" s="49"/>
      <c r="M825" s="1624"/>
      <c r="N825" s="1624"/>
      <c r="O825" s="1624"/>
      <c r="P825" s="1624"/>
      <c r="Q825" s="1624"/>
      <c r="R825" s="1624"/>
      <c r="S825" s="1624"/>
      <c r="T825" s="1624"/>
      <c r="U825" s="1624"/>
      <c r="V825" s="1624"/>
      <c r="W825" s="1624"/>
      <c r="X825" s="1624"/>
      <c r="Y825" s="1624"/>
      <c r="Z825" s="1624"/>
      <c r="AA825" s="1624"/>
      <c r="AB825" s="1624"/>
      <c r="AC825" s="1620"/>
      <c r="AD825" s="1621"/>
      <c r="AE825" s="1621"/>
      <c r="AF825" s="1622"/>
      <c r="AG825" s="1620"/>
      <c r="AH825" s="1621"/>
      <c r="AI825" s="1621"/>
      <c r="AJ825" s="1622"/>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97" t="s">
        <v>41</v>
      </c>
      <c r="D826" s="1498"/>
      <c r="E826" s="1498"/>
      <c r="F826" s="1498"/>
      <c r="G826" s="1498"/>
      <c r="H826" s="1498"/>
      <c r="I826" s="5"/>
      <c r="J826" s="5"/>
      <c r="K826" s="5"/>
      <c r="L826" s="46"/>
      <c r="M826" s="1624"/>
      <c r="N826" s="1624"/>
      <c r="O826" s="1624"/>
      <c r="P826" s="1624"/>
      <c r="Q826" s="1624"/>
      <c r="R826" s="1624"/>
      <c r="S826" s="1624"/>
      <c r="T826" s="1624"/>
      <c r="U826" s="1624"/>
      <c r="V826" s="1624"/>
      <c r="W826" s="1624"/>
      <c r="X826" s="1624"/>
      <c r="Y826" s="1624"/>
      <c r="Z826" s="1624"/>
      <c r="AA826" s="1624"/>
      <c r="AB826" s="1624"/>
      <c r="AC826" s="1620"/>
      <c r="AD826" s="1621"/>
      <c r="AE826" s="1621"/>
      <c r="AF826" s="1622"/>
      <c r="AG826" s="1620"/>
      <c r="AH826" s="1621"/>
      <c r="AI826" s="1621"/>
      <c r="AJ826" s="1622"/>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97" t="s">
        <v>42</v>
      </c>
      <c r="D827" s="1498"/>
      <c r="E827" s="1498"/>
      <c r="F827" s="1498"/>
      <c r="G827" s="1498"/>
      <c r="H827" s="1498"/>
      <c r="I827" s="60"/>
      <c r="J827" s="60"/>
      <c r="K827" s="60"/>
      <c r="L827" s="61"/>
      <c r="M827" s="1624"/>
      <c r="N827" s="1624"/>
      <c r="O827" s="1624"/>
      <c r="P827" s="1624"/>
      <c r="Q827" s="1624"/>
      <c r="R827" s="1624"/>
      <c r="S827" s="1624"/>
      <c r="T827" s="1624"/>
      <c r="U827" s="1624"/>
      <c r="V827" s="1624"/>
      <c r="W827" s="1624"/>
      <c r="X827" s="1624"/>
      <c r="Y827" s="1624"/>
      <c r="Z827" s="1624"/>
      <c r="AA827" s="1624"/>
      <c r="AB827" s="1624"/>
      <c r="AC827" s="1620"/>
      <c r="AD827" s="1621"/>
      <c r="AE827" s="1621"/>
      <c r="AF827" s="1622"/>
      <c r="AG827" s="1620"/>
      <c r="AH827" s="1621"/>
      <c r="AI827" s="1621"/>
      <c r="AJ827" s="1622"/>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97" t="s">
        <v>772</v>
      </c>
      <c r="D828" s="1498"/>
      <c r="E828" s="1498"/>
      <c r="F828" s="1498"/>
      <c r="G828" s="1498"/>
      <c r="H828" s="1498"/>
      <c r="I828" s="60"/>
      <c r="J828" s="60"/>
      <c r="K828" s="60"/>
      <c r="L828" s="61"/>
      <c r="M828" s="1624"/>
      <c r="N828" s="1624"/>
      <c r="O828" s="1624"/>
      <c r="P828" s="1624"/>
      <c r="Q828" s="1624"/>
      <c r="R828" s="1624"/>
      <c r="S828" s="1624"/>
      <c r="T828" s="1624"/>
      <c r="U828" s="1624"/>
      <c r="V828" s="1624"/>
      <c r="W828" s="1624"/>
      <c r="X828" s="1624"/>
      <c r="Y828" s="1624"/>
      <c r="Z828" s="1624"/>
      <c r="AA828" s="1624"/>
      <c r="AB828" s="1624"/>
      <c r="AC828" s="1620"/>
      <c r="AD828" s="1621"/>
      <c r="AE828" s="1621"/>
      <c r="AF828" s="1622"/>
      <c r="AG828" s="1620"/>
      <c r="AH828" s="1621"/>
      <c r="AI828" s="1621"/>
      <c r="AJ828" s="1622"/>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97" t="s">
        <v>468</v>
      </c>
      <c r="D829" s="1498"/>
      <c r="E829" s="1498"/>
      <c r="F829" s="1498"/>
      <c r="G829" s="1498"/>
      <c r="H829" s="1498"/>
      <c r="I829" s="60"/>
      <c r="J829" s="60"/>
      <c r="K829" s="60"/>
      <c r="L829" s="61"/>
      <c r="M829" s="1624"/>
      <c r="N829" s="1624"/>
      <c r="O829" s="1624"/>
      <c r="P829" s="1624"/>
      <c r="Q829" s="1624"/>
      <c r="R829" s="1624"/>
      <c r="S829" s="1624"/>
      <c r="T829" s="1624"/>
      <c r="U829" s="1624"/>
      <c r="V829" s="1624"/>
      <c r="W829" s="1624"/>
      <c r="X829" s="1624"/>
      <c r="Y829" s="1624"/>
      <c r="Z829" s="1624"/>
      <c r="AA829" s="1624"/>
      <c r="AB829" s="1624"/>
      <c r="AC829" s="1620"/>
      <c r="AD829" s="1621"/>
      <c r="AE829" s="1621"/>
      <c r="AF829" s="1622"/>
      <c r="AG829" s="1620"/>
      <c r="AH829" s="1621"/>
      <c r="AI829" s="1621"/>
      <c r="AJ829" s="1622"/>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55" t="s">
        <v>793</v>
      </c>
      <c r="D830" s="1498"/>
      <c r="E830" s="1498"/>
      <c r="F830" s="1498"/>
      <c r="G830" s="1498"/>
      <c r="H830" s="1498"/>
      <c r="I830" s="60"/>
      <c r="J830" s="60"/>
      <c r="K830" s="60"/>
      <c r="L830" s="61"/>
      <c r="M830" s="1624"/>
      <c r="N830" s="1624"/>
      <c r="O830" s="1624"/>
      <c r="P830" s="1624"/>
      <c r="Q830" s="1624"/>
      <c r="R830" s="1624"/>
      <c r="S830" s="1624"/>
      <c r="T830" s="1624"/>
      <c r="U830" s="1624"/>
      <c r="V830" s="1624"/>
      <c r="W830" s="1624"/>
      <c r="X830" s="1624"/>
      <c r="Y830" s="1624"/>
      <c r="Z830" s="1624"/>
      <c r="AA830" s="1624"/>
      <c r="AB830" s="1624"/>
      <c r="AC830" s="1620"/>
      <c r="AD830" s="1621"/>
      <c r="AE830" s="1621"/>
      <c r="AF830" s="1622"/>
      <c r="AG830" s="1620"/>
      <c r="AH830" s="1621"/>
      <c r="AI830" s="1621"/>
      <c r="AJ830" s="1622"/>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641" t="s">
        <v>2758</v>
      </c>
      <c r="G831" s="1642"/>
      <c r="H831" s="1642"/>
      <c r="I831" s="1642"/>
      <c r="J831" s="1642"/>
      <c r="K831" s="1642"/>
      <c r="L831" s="1642"/>
      <c r="M831" s="1624">
        <v>12</v>
      </c>
      <c r="N831" s="1624"/>
      <c r="O831" s="1624"/>
      <c r="P831" s="1624"/>
      <c r="Q831" s="1624">
        <v>12</v>
      </c>
      <c r="R831" s="1624"/>
      <c r="S831" s="1624"/>
      <c r="T831" s="1624"/>
      <c r="U831" s="1624">
        <v>12</v>
      </c>
      <c r="V831" s="1624"/>
      <c r="W831" s="1624"/>
      <c r="X831" s="1624"/>
      <c r="Y831" s="1624">
        <v>12</v>
      </c>
      <c r="Z831" s="1624"/>
      <c r="AA831" s="1624"/>
      <c r="AB831" s="1624"/>
      <c r="AC831" s="1620"/>
      <c r="AD831" s="1621"/>
      <c r="AE831" s="1621"/>
      <c r="AF831" s="1622"/>
      <c r="AG831" s="1620"/>
      <c r="AH831" s="1621"/>
      <c r="AI831" s="1621"/>
      <c r="AJ831" s="1622"/>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625" t="s">
        <v>124</v>
      </c>
      <c r="D832" s="1626"/>
      <c r="E832" s="1626"/>
      <c r="F832" s="1626"/>
      <c r="G832" s="1626"/>
      <c r="H832" s="1626"/>
      <c r="I832" s="1626"/>
      <c r="J832" s="1626"/>
      <c r="K832" s="1626"/>
      <c r="L832" s="1627"/>
      <c r="M832" s="1634">
        <f>SUM(M825:P831)</f>
        <v>12</v>
      </c>
      <c r="N832" s="1634"/>
      <c r="O832" s="1634"/>
      <c r="P832" s="1634"/>
      <c r="Q832" s="1634">
        <f>SUM(Q825:T831)</f>
        <v>12</v>
      </c>
      <c r="R832" s="1634"/>
      <c r="S832" s="1634"/>
      <c r="T832" s="1634"/>
      <c r="U832" s="1634">
        <f>SUM(U825:X831)</f>
        <v>12</v>
      </c>
      <c r="V832" s="1634"/>
      <c r="W832" s="1634"/>
      <c r="X832" s="1634"/>
      <c r="Y832" s="1634">
        <f>SUM(Y825:AB831)</f>
        <v>12</v>
      </c>
      <c r="Z832" s="1634"/>
      <c r="AA832" s="1634"/>
      <c r="AB832" s="1634"/>
      <c r="AC832" s="1634">
        <f>SUM(AC825:AF831)</f>
        <v>0</v>
      </c>
      <c r="AD832" s="1634"/>
      <c r="AE832" s="1634"/>
      <c r="AF832" s="1634"/>
      <c r="AG832" s="1634">
        <f>SUM(AG825:AJ831)</f>
        <v>0</v>
      </c>
      <c r="AH832" s="1634"/>
      <c r="AI832" s="1634"/>
      <c r="AJ832" s="1634"/>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708" t="s">
        <v>2801</v>
      </c>
      <c r="D837" s="1709"/>
      <c r="E837" s="1709"/>
      <c r="F837" s="1709"/>
      <c r="G837" s="1709"/>
      <c r="H837" s="1709"/>
      <c r="I837" s="1709"/>
      <c r="J837" s="1709"/>
      <c r="K837" s="1709"/>
      <c r="L837" s="1709"/>
      <c r="M837" s="1709"/>
      <c r="N837" s="1709"/>
      <c r="O837" s="1709"/>
      <c r="P837" s="1709"/>
      <c r="Q837" s="1709"/>
      <c r="R837" s="1709"/>
      <c r="S837" s="1709"/>
      <c r="T837" s="1709"/>
      <c r="U837" s="1709"/>
      <c r="V837" s="1709"/>
      <c r="W837" s="1709"/>
      <c r="X837" s="1709"/>
      <c r="Y837" s="1709"/>
      <c r="Z837" s="1709"/>
      <c r="AA837" s="1709"/>
      <c r="AB837" s="1709"/>
      <c r="AC837" s="1709"/>
      <c r="AD837" s="1709"/>
      <c r="AE837" s="1709"/>
      <c r="AF837" s="1709"/>
      <c r="AG837" s="1709"/>
      <c r="AH837" s="1709"/>
      <c r="AI837" s="1709"/>
      <c r="AJ837" s="1710"/>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55">
        <f>ROUNDDOWN(BC939*2,2)</f>
        <v>0</v>
      </c>
      <c r="BJ841" s="1655"/>
      <c r="BK841" s="1655"/>
      <c r="BL841" s="1655"/>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644">
        <v>3000</v>
      </c>
      <c r="X842" s="1644"/>
      <c r="Y842" s="1644"/>
      <c r="Z842" s="1644"/>
      <c r="AA842" s="1644"/>
      <c r="AB842" s="1644"/>
      <c r="AC842" s="1644"/>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644">
        <v>12000</v>
      </c>
      <c r="X843" s="1644"/>
      <c r="Y843" s="1644"/>
      <c r="Z843" s="1644"/>
      <c r="AA843" s="1644"/>
      <c r="AB843" s="1644"/>
      <c r="AC843" s="1644"/>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644">
        <v>16000</v>
      </c>
      <c r="X844" s="1644"/>
      <c r="Y844" s="1644"/>
      <c r="Z844" s="1644"/>
      <c r="AA844" s="1644"/>
      <c r="AB844" s="1644"/>
      <c r="AC844" s="1644"/>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644">
        <v>60000</v>
      </c>
      <c r="X845" s="1644"/>
      <c r="Y845" s="1644"/>
      <c r="Z845" s="1644"/>
      <c r="AA845" s="1644"/>
      <c r="AB845" s="1644"/>
      <c r="AC845" s="1644"/>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641" t="s">
        <v>2749</v>
      </c>
      <c r="N846" s="1642"/>
      <c r="O846" s="1642"/>
      <c r="P846" s="1642"/>
      <c r="Q846" s="1642"/>
      <c r="R846" s="1642"/>
      <c r="S846" s="1642"/>
      <c r="T846" s="1642"/>
      <c r="U846" s="1642"/>
      <c r="V846" s="1643"/>
      <c r="W846" s="1644">
        <v>35000</v>
      </c>
      <c r="X846" s="1644"/>
      <c r="Y846" s="1644"/>
      <c r="Z846" s="1644"/>
      <c r="AA846" s="1644"/>
      <c r="AB846" s="1644"/>
      <c r="AC846" s="1644"/>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630">
        <f>SUM(W842:AC846)</f>
        <v>126000</v>
      </c>
      <c r="X847" s="1631"/>
      <c r="Y847" s="1631"/>
      <c r="Z847" s="1631"/>
      <c r="AA847" s="1631"/>
      <c r="AB847" s="1631"/>
      <c r="AC847" s="1632"/>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58"/>
      <c r="BH848" s="1658"/>
      <c r="BI848" s="1658"/>
      <c r="BJ848" s="1658"/>
      <c r="BK848" s="1658"/>
      <c r="BL848" s="1658"/>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625" t="s">
        <v>346</v>
      </c>
      <c r="K849" s="1626"/>
      <c r="L849" s="1626"/>
      <c r="M849" s="1626"/>
      <c r="N849" s="1626"/>
      <c r="O849" s="1626"/>
      <c r="P849" s="1626"/>
      <c r="Q849" s="1626"/>
      <c r="R849" s="1626"/>
      <c r="S849" s="1626"/>
      <c r="T849" s="1626"/>
      <c r="U849" s="1626"/>
      <c r="V849" s="1627"/>
      <c r="W849" s="1399">
        <v>105840</v>
      </c>
      <c r="X849" s="1400"/>
      <c r="Y849" s="1400"/>
      <c r="Z849" s="1400"/>
      <c r="AA849" s="1400"/>
      <c r="AB849" s="1400"/>
      <c r="AC849" s="1401"/>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570</v>
      </c>
      <c r="J851" s="45" t="s">
        <v>353</v>
      </c>
      <c r="K851" s="5"/>
      <c r="L851" s="5"/>
      <c r="M851" s="5"/>
      <c r="N851" s="5"/>
      <c r="O851" s="5"/>
      <c r="P851" s="5"/>
      <c r="Q851" s="5"/>
      <c r="R851" s="5"/>
      <c r="S851" s="5"/>
      <c r="T851" s="5"/>
      <c r="U851" s="5"/>
      <c r="V851" s="46"/>
      <c r="W851" s="1645"/>
      <c r="X851" s="1645"/>
      <c r="Y851" s="1645"/>
      <c r="Z851" s="1645"/>
      <c r="AA851" s="1645"/>
      <c r="AB851" s="1645"/>
      <c r="AC851" s="1645"/>
      <c r="AZ851" s="1662">
        <f>SUM(AZ818:AZ846)</f>
        <v>7.5000000000000011E-2</v>
      </c>
      <c r="BA851" s="1662"/>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645">
        <v>0</v>
      </c>
      <c r="X852" s="1645"/>
      <c r="Y852" s="1645"/>
      <c r="Z852" s="1645"/>
      <c r="AA852" s="1645"/>
      <c r="AB852" s="1645"/>
      <c r="AC852" s="1645"/>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468</v>
      </c>
      <c r="K853" s="5"/>
      <c r="L853" s="5"/>
      <c r="M853" s="5"/>
      <c r="N853" s="5"/>
      <c r="O853" s="5"/>
      <c r="P853" s="5"/>
      <c r="Q853" s="5"/>
      <c r="R853" s="5"/>
      <c r="S853" s="5"/>
      <c r="T853" s="5"/>
      <c r="U853" s="5"/>
      <c r="V853" s="46"/>
      <c r="W853" s="1645">
        <v>120000</v>
      </c>
      <c r="X853" s="1645"/>
      <c r="Y853" s="1645"/>
      <c r="Z853" s="1645"/>
      <c r="AA853" s="1645"/>
      <c r="AB853" s="1645"/>
      <c r="AC853" s="1645"/>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629</v>
      </c>
      <c r="K854" s="5"/>
      <c r="L854" s="5"/>
      <c r="M854" s="5"/>
      <c r="N854" s="5"/>
      <c r="O854" s="5"/>
      <c r="P854" s="5"/>
      <c r="Q854" s="5"/>
      <c r="R854" s="5"/>
      <c r="S854" s="5"/>
      <c r="T854" s="5"/>
      <c r="U854" s="5"/>
      <c r="V854" s="46"/>
      <c r="W854" s="1645">
        <v>135000</v>
      </c>
      <c r="X854" s="1645"/>
      <c r="Y854" s="1645"/>
      <c r="Z854" s="1645"/>
      <c r="AA854" s="1645"/>
      <c r="AB854" s="1645"/>
      <c r="AC854" s="1645"/>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683">
        <f>SUM(W851:AC854)</f>
        <v>255000</v>
      </c>
      <c r="X855" s="1683"/>
      <c r="Y855" s="1683"/>
      <c r="Z855" s="1683"/>
      <c r="AA855" s="1683"/>
      <c r="AB855" s="1683"/>
      <c r="AC855" s="1683"/>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628</v>
      </c>
      <c r="K857" s="5"/>
      <c r="L857" s="5"/>
      <c r="M857" s="5"/>
      <c r="N857" s="5"/>
      <c r="O857" s="5"/>
      <c r="P857" s="5"/>
      <c r="Q857" s="5"/>
      <c r="R857" s="5"/>
      <c r="S857" s="5"/>
      <c r="T857" s="5"/>
      <c r="U857" s="5"/>
      <c r="V857" s="46"/>
      <c r="W857" s="1659">
        <v>106080</v>
      </c>
      <c r="X857" s="1660"/>
      <c r="Y857" s="1660"/>
      <c r="Z857" s="1660"/>
      <c r="AA857" s="1660"/>
      <c r="AB857" s="1660"/>
      <c r="AC857" s="1661"/>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1768</v>
      </c>
      <c r="K858" s="5"/>
      <c r="L858" s="5"/>
      <c r="M858" s="5"/>
      <c r="N858" s="5"/>
      <c r="O858" s="5"/>
      <c r="P858" s="5"/>
      <c r="Q858" s="5"/>
      <c r="R858" s="5"/>
      <c r="S858" s="5"/>
      <c r="T858" s="1663"/>
      <c r="U858" s="1592"/>
      <c r="V858" s="1664"/>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627</v>
      </c>
      <c r="K859" s="5"/>
      <c r="L859" s="5"/>
      <c r="M859" s="5"/>
      <c r="N859" s="5"/>
      <c r="O859" s="5"/>
      <c r="P859" s="5"/>
      <c r="Q859" s="5"/>
      <c r="R859" s="5"/>
      <c r="S859" s="5"/>
      <c r="T859" s="5"/>
      <c r="U859" s="5"/>
      <c r="V859" s="46"/>
      <c r="W859" s="1659">
        <v>91520</v>
      </c>
      <c r="X859" s="1660"/>
      <c r="Y859" s="1660"/>
      <c r="Z859" s="1660"/>
      <c r="AA859" s="1660"/>
      <c r="AB859" s="1660"/>
      <c r="AC859" s="1661"/>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1769</v>
      </c>
      <c r="K860" s="5"/>
      <c r="L860" s="5"/>
      <c r="M860" s="5"/>
      <c r="N860" s="5"/>
      <c r="O860" s="5"/>
      <c r="P860" s="5"/>
      <c r="Q860" s="5"/>
      <c r="R860" s="5"/>
      <c r="S860" s="5"/>
      <c r="T860" s="1663">
        <v>2</v>
      </c>
      <c r="U860" s="1592"/>
      <c r="V860" s="1664"/>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641" t="s">
        <v>2750</v>
      </c>
      <c r="N861" s="1642"/>
      <c r="O861" s="1642"/>
      <c r="P861" s="1642"/>
      <c r="Q861" s="1642"/>
      <c r="R861" s="1642"/>
      <c r="S861" s="1642"/>
      <c r="T861" s="1642"/>
      <c r="U861" s="1642"/>
      <c r="V861" s="1643"/>
      <c r="W861" s="1659">
        <v>63232</v>
      </c>
      <c r="X861" s="1660"/>
      <c r="Y861" s="1660"/>
      <c r="Z861" s="1660"/>
      <c r="AA861" s="1660"/>
      <c r="AB861" s="1660"/>
      <c r="AC861" s="1661"/>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665">
        <f>SUM(W857:AC861)</f>
        <v>260832</v>
      </c>
      <c r="X862" s="1666"/>
      <c r="Y862" s="1666"/>
      <c r="Z862" s="1666"/>
      <c r="AA862" s="1666"/>
      <c r="AB862" s="1666"/>
      <c r="AC862" s="1667"/>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59">
        <v>80000</v>
      </c>
      <c r="X863" s="1660"/>
      <c r="Y863" s="1660"/>
      <c r="Z863" s="1660"/>
      <c r="AA863" s="1660"/>
      <c r="AB863" s="1660"/>
      <c r="AC863" s="1661"/>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626</v>
      </c>
      <c r="K865" s="5"/>
      <c r="L865" s="5"/>
      <c r="M865" s="5"/>
      <c r="N865" s="5"/>
      <c r="O865" s="5"/>
      <c r="P865" s="5"/>
      <c r="Q865" s="5"/>
      <c r="R865" s="5"/>
      <c r="S865" s="5"/>
      <c r="T865" s="5"/>
      <c r="U865" s="5"/>
      <c r="V865" s="46"/>
      <c r="W865" s="1644">
        <v>30000</v>
      </c>
      <c r="X865" s="1644"/>
      <c r="Y865" s="1644"/>
      <c r="Z865" s="1644"/>
      <c r="AA865" s="1644"/>
      <c r="AB865" s="1644"/>
      <c r="AC865" s="1644"/>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531</v>
      </c>
      <c r="K866" s="5"/>
      <c r="L866" s="5"/>
      <c r="M866" s="5"/>
      <c r="N866" s="5"/>
      <c r="O866" s="5"/>
      <c r="P866" s="5"/>
      <c r="Q866" s="5"/>
      <c r="R866" s="5"/>
      <c r="S866" s="5"/>
      <c r="T866" s="5"/>
      <c r="U866" s="5"/>
      <c r="V866" s="46"/>
      <c r="W866" s="1644">
        <v>30000</v>
      </c>
      <c r="X866" s="1644"/>
      <c r="Y866" s="1644"/>
      <c r="Z866" s="1644"/>
      <c r="AA866" s="1644"/>
      <c r="AB866" s="1644"/>
      <c r="AC866" s="1644"/>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530</v>
      </c>
      <c r="K867" s="5"/>
      <c r="L867" s="5"/>
      <c r="M867" s="5"/>
      <c r="N867" s="5"/>
      <c r="O867" s="5"/>
      <c r="P867" s="5"/>
      <c r="Q867" s="5"/>
      <c r="R867" s="5"/>
      <c r="S867" s="5"/>
      <c r="T867" s="5"/>
      <c r="U867" s="5"/>
      <c r="V867" s="46"/>
      <c r="W867" s="1644">
        <v>40000</v>
      </c>
      <c r="X867" s="1644"/>
      <c r="Y867" s="1644"/>
      <c r="Z867" s="1644"/>
      <c r="AA867" s="1644"/>
      <c r="AB867" s="1644"/>
      <c r="AC867" s="1644"/>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529</v>
      </c>
      <c r="K868" s="5"/>
      <c r="L868" s="5"/>
      <c r="M868" s="5"/>
      <c r="N868" s="5"/>
      <c r="O868" s="5"/>
      <c r="P868" s="5"/>
      <c r="Q868" s="5"/>
      <c r="R868" s="5"/>
      <c r="S868" s="5"/>
      <c r="T868" s="5"/>
      <c r="U868" s="5"/>
      <c r="V868" s="46"/>
      <c r="W868" s="1644">
        <v>10000</v>
      </c>
      <c r="X868" s="1644"/>
      <c r="Y868" s="1644"/>
      <c r="Z868" s="1644"/>
      <c r="AA868" s="1644"/>
      <c r="AB868" s="1644"/>
      <c r="AC868" s="1644"/>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528</v>
      </c>
      <c r="K869" s="5"/>
      <c r="L869" s="5"/>
      <c r="M869" s="5"/>
      <c r="N869" s="5"/>
      <c r="O869" s="5"/>
      <c r="P869" s="5"/>
      <c r="Q869" s="5"/>
      <c r="R869" s="5"/>
      <c r="S869" s="5"/>
      <c r="T869" s="5"/>
      <c r="U869" s="5"/>
      <c r="V869" s="46"/>
      <c r="W869" s="1644">
        <v>35000</v>
      </c>
      <c r="X869" s="1644"/>
      <c r="Y869" s="1644"/>
      <c r="Z869" s="1644"/>
      <c r="AA869" s="1644"/>
      <c r="AB869" s="1644"/>
      <c r="AC869" s="1644"/>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527</v>
      </c>
      <c r="K870" s="5"/>
      <c r="L870" s="5"/>
      <c r="M870" s="5"/>
      <c r="N870" s="5"/>
      <c r="O870" s="5"/>
      <c r="P870" s="5"/>
      <c r="Q870" s="5"/>
      <c r="R870" s="5"/>
      <c r="S870" s="5"/>
      <c r="T870" s="5"/>
      <c r="U870" s="5"/>
      <c r="V870" s="46"/>
      <c r="W870" s="1644">
        <v>13000</v>
      </c>
      <c r="X870" s="1644"/>
      <c r="Y870" s="1644"/>
      <c r="Z870" s="1644"/>
      <c r="AA870" s="1644"/>
      <c r="AB870" s="1644"/>
      <c r="AC870" s="1644"/>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641" t="s">
        <v>2751</v>
      </c>
      <c r="N871" s="1642"/>
      <c r="O871" s="1642"/>
      <c r="P871" s="1642"/>
      <c r="Q871" s="1642"/>
      <c r="R871" s="1642"/>
      <c r="S871" s="1642"/>
      <c r="T871" s="1642"/>
      <c r="U871" s="1642"/>
      <c r="V871" s="1643"/>
      <c r="W871" s="1644">
        <v>20000</v>
      </c>
      <c r="X871" s="1644"/>
      <c r="Y871" s="1644"/>
      <c r="Z871" s="1644"/>
      <c r="AA871" s="1644"/>
      <c r="AB871" s="1644"/>
      <c r="AC871" s="1644"/>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633">
        <f>SUM(W865:AC871)</f>
        <v>178000</v>
      </c>
      <c r="X872" s="1633"/>
      <c r="Y872" s="1633"/>
      <c r="Z872" s="1633"/>
      <c r="AA872" s="1633"/>
      <c r="AB872" s="1633"/>
      <c r="AC872" s="1633"/>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1351</v>
      </c>
      <c r="J874" s="45" t="s">
        <v>170</v>
      </c>
      <c r="K874" s="5"/>
      <c r="L874" s="5"/>
      <c r="M874" s="1641" t="s">
        <v>335</v>
      </c>
      <c r="N874" s="1642"/>
      <c r="O874" s="1642"/>
      <c r="P874" s="1642"/>
      <c r="Q874" s="1642"/>
      <c r="R874" s="1642"/>
      <c r="S874" s="1642"/>
      <c r="T874" s="1642"/>
      <c r="U874" s="1642"/>
      <c r="V874" s="1643"/>
      <c r="W874" s="1399"/>
      <c r="X874" s="1400"/>
      <c r="Y874" s="1400"/>
      <c r="Z874" s="1400"/>
      <c r="AA874" s="1400"/>
      <c r="AB874" s="1400"/>
      <c r="AC874" s="1401"/>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1352</v>
      </c>
      <c r="J875" s="45" t="s">
        <v>170</v>
      </c>
      <c r="K875" s="5"/>
      <c r="L875" s="5"/>
      <c r="M875" s="1641" t="s">
        <v>335</v>
      </c>
      <c r="N875" s="1642"/>
      <c r="O875" s="1642"/>
      <c r="P875" s="1642"/>
      <c r="Q875" s="1642"/>
      <c r="R875" s="1642"/>
      <c r="S875" s="1642"/>
      <c r="T875" s="1642"/>
      <c r="U875" s="1642"/>
      <c r="V875" s="1643"/>
      <c r="W875" s="1399"/>
      <c r="X875" s="1400"/>
      <c r="Y875" s="1400"/>
      <c r="Z875" s="1400"/>
      <c r="AA875" s="1400"/>
      <c r="AB875" s="1400"/>
      <c r="AC875" s="1401"/>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641" t="s">
        <v>335</v>
      </c>
      <c r="N876" s="1642"/>
      <c r="O876" s="1642"/>
      <c r="P876" s="1642"/>
      <c r="Q876" s="1642"/>
      <c r="R876" s="1642"/>
      <c r="S876" s="1642"/>
      <c r="T876" s="1642"/>
      <c r="U876" s="1642"/>
      <c r="V876" s="1643"/>
      <c r="W876" s="1399"/>
      <c r="X876" s="1400"/>
      <c r="Y876" s="1400"/>
      <c r="Z876" s="1400"/>
      <c r="AA876" s="1400"/>
      <c r="AB876" s="1400"/>
      <c r="AC876" s="1401"/>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641" t="s">
        <v>335</v>
      </c>
      <c r="N877" s="1642"/>
      <c r="O877" s="1642"/>
      <c r="P877" s="1642"/>
      <c r="Q877" s="1642"/>
      <c r="R877" s="1642"/>
      <c r="S877" s="1642"/>
      <c r="T877" s="1642"/>
      <c r="U877" s="1642"/>
      <c r="V877" s="1643"/>
      <c r="W877" s="1399"/>
      <c r="X877" s="1400"/>
      <c r="Y877" s="1400"/>
      <c r="Z877" s="1400"/>
      <c r="AA877" s="1400"/>
      <c r="AB877" s="1400"/>
      <c r="AC877" s="1401"/>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641" t="s">
        <v>335</v>
      </c>
      <c r="N878" s="1642"/>
      <c r="O878" s="1642"/>
      <c r="P878" s="1642"/>
      <c r="Q878" s="1642"/>
      <c r="R878" s="1642"/>
      <c r="S878" s="1642"/>
      <c r="T878" s="1642"/>
      <c r="U878" s="1642"/>
      <c r="V878" s="1643"/>
      <c r="W878" s="1399"/>
      <c r="X878" s="1400"/>
      <c r="Y878" s="1400"/>
      <c r="Z878" s="1400"/>
      <c r="AA878" s="1400"/>
      <c r="AB878" s="1400"/>
      <c r="AC878" s="1401"/>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630">
        <f>SUM(W874:AC878)</f>
        <v>0</v>
      </c>
      <c r="X879" s="1631"/>
      <c r="Y879" s="1631"/>
      <c r="Z879" s="1631"/>
      <c r="AA879" s="1631"/>
      <c r="AB879" s="1631"/>
      <c r="AC879" s="1632"/>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31">
        <f>W847+W855+W862+W863+W872+W879+W849</f>
        <v>1005672</v>
      </c>
      <c r="AD883" s="1631"/>
      <c r="AE883" s="1631"/>
      <c r="AF883" s="1631"/>
      <c r="AG883" s="1631"/>
      <c r="AH883" s="1632"/>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742">
        <f>O797+O777+G753</f>
        <v>147</v>
      </c>
      <c r="AD884" s="1742"/>
      <c r="AE884" s="1742"/>
      <c r="AF884" s="1742"/>
      <c r="AG884" s="1742"/>
      <c r="AH884" s="1743"/>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31" t="s">
        <v>32</v>
      </c>
      <c r="F885" s="1731"/>
      <c r="G885" s="1731"/>
      <c r="H885" s="1731"/>
      <c r="I885" s="1731"/>
      <c r="J885" s="1731"/>
      <c r="K885" s="1731"/>
      <c r="L885" s="1731"/>
      <c r="M885" s="1731"/>
      <c r="N885" s="1731"/>
      <c r="O885" s="1731"/>
      <c r="P885" s="1731"/>
      <c r="Q885" s="1731"/>
      <c r="R885" s="1731"/>
      <c r="S885" s="1731"/>
      <c r="T885" s="1731"/>
      <c r="U885" s="1731"/>
      <c r="V885" s="1731"/>
      <c r="W885" s="1731"/>
      <c r="X885" s="1731"/>
      <c r="Y885" s="1731"/>
      <c r="Z885" s="1731"/>
      <c r="AA885" s="1731"/>
      <c r="AB885" s="1732"/>
      <c r="AC885" s="1633">
        <f>IF(ISERROR((ROUNDDOWN(AC883/AC884,0))),0,(ROUNDDOWN(AC883/AC884,0)))</f>
        <v>6841</v>
      </c>
      <c r="AD885" s="1633"/>
      <c r="AE885" s="1633"/>
      <c r="AF885" s="1633"/>
      <c r="AG885" s="1633"/>
      <c r="AH885" s="1633"/>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646">
        <v>738000</v>
      </c>
      <c r="AD886" s="1647"/>
      <c r="AE886" s="1647"/>
      <c r="AF886" s="1647"/>
      <c r="AG886" s="1647"/>
      <c r="AH886" s="1647"/>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401"/>
      <c r="AD887" s="1644"/>
      <c r="AE887" s="1644"/>
      <c r="AF887" s="1644"/>
      <c r="AG887" s="1644"/>
      <c r="AH887" s="1644"/>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400">
        <v>30000</v>
      </c>
      <c r="AD888" s="1400"/>
      <c r="AE888" s="1400"/>
      <c r="AF888" s="1400"/>
      <c r="AG888" s="1400"/>
      <c r="AH888" s="1401"/>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00">
        <v>66250</v>
      </c>
      <c r="AD889" s="1400"/>
      <c r="AE889" s="1400"/>
      <c r="AF889" s="1400"/>
      <c r="AG889" s="1400"/>
      <c r="AH889" s="1401"/>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1867</v>
      </c>
      <c r="AC890" s="1620"/>
      <c r="AD890" s="1621"/>
      <c r="AE890" s="1621"/>
      <c r="AF890" s="1621"/>
      <c r="AG890" s="1621"/>
      <c r="AH890" s="1622"/>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00">
        <v>14000</v>
      </c>
      <c r="AD891" s="1400"/>
      <c r="AE891" s="1400"/>
      <c r="AF891" s="1400"/>
      <c r="AG891" s="1400"/>
      <c r="AH891" s="1401"/>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1770</v>
      </c>
      <c r="AC892" s="1400"/>
      <c r="AD892" s="1400"/>
      <c r="AE892" s="1400"/>
      <c r="AF892" s="1400"/>
      <c r="AG892" s="1400"/>
      <c r="AH892" s="1401"/>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739" t="s">
        <v>2752</v>
      </c>
      <c r="D893" s="1740"/>
      <c r="E893" s="1740"/>
      <c r="F893" s="1740"/>
      <c r="G893" s="1740"/>
      <c r="H893" s="1740"/>
      <c r="I893" s="1740"/>
      <c r="J893" s="1740"/>
      <c r="K893" s="1740"/>
      <c r="L893" s="1740"/>
      <c r="M893" s="1740"/>
      <c r="N893" s="1740"/>
      <c r="O893" s="1740"/>
      <c r="P893" s="1740"/>
      <c r="Q893" s="1740"/>
      <c r="R893" s="1740"/>
      <c r="S893" s="1740"/>
      <c r="T893" s="1740"/>
      <c r="U893" s="1740"/>
      <c r="V893" s="1740"/>
      <c r="W893" s="1740"/>
      <c r="X893" s="1740"/>
      <c r="Y893" s="1740"/>
      <c r="Z893" s="1740"/>
      <c r="AA893" s="1740"/>
      <c r="AB893" s="1741"/>
      <c r="AC893" s="1644">
        <v>51000</v>
      </c>
      <c r="AD893" s="1644"/>
      <c r="AE893" s="1644"/>
      <c r="AF893" s="1644"/>
      <c r="AG893" s="1644"/>
      <c r="AH893" s="1644"/>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739" t="s">
        <v>976</v>
      </c>
      <c r="D894" s="1740"/>
      <c r="E894" s="1740"/>
      <c r="F894" s="1740"/>
      <c r="G894" s="1740"/>
      <c r="H894" s="1740"/>
      <c r="I894" s="1740"/>
      <c r="J894" s="1740"/>
      <c r="K894" s="1740"/>
      <c r="L894" s="1740"/>
      <c r="M894" s="1740"/>
      <c r="N894" s="1740"/>
      <c r="O894" s="1740"/>
      <c r="P894" s="1740"/>
      <c r="Q894" s="1740"/>
      <c r="R894" s="1740"/>
      <c r="S894" s="1740"/>
      <c r="T894" s="1740"/>
      <c r="U894" s="1740"/>
      <c r="V894" s="1740"/>
      <c r="W894" s="1740"/>
      <c r="X894" s="1740"/>
      <c r="Y894" s="1740"/>
      <c r="Z894" s="1740"/>
      <c r="AA894" s="1740"/>
      <c r="AB894" s="1741"/>
      <c r="AC894" s="1644"/>
      <c r="AD894" s="1644"/>
      <c r="AE894" s="1644"/>
      <c r="AF894" s="1644"/>
      <c r="AG894" s="1644"/>
      <c r="AH894" s="1644"/>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399"/>
      <c r="AA898" s="1400"/>
      <c r="AB898" s="1400"/>
      <c r="AC898" s="1400"/>
      <c r="AD898" s="1400"/>
      <c r="AE898" s="1401"/>
      <c r="AF898" s="567"/>
      <c r="AZ898" s="34"/>
      <c r="BB898" s="30"/>
      <c r="BC898" s="850"/>
      <c r="BD898" s="1657"/>
      <c r="BE898" s="1657"/>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399"/>
      <c r="AA899" s="1400"/>
      <c r="AB899" s="1400"/>
      <c r="AC899" s="1400"/>
      <c r="AD899" s="1400"/>
      <c r="AE899" s="1401"/>
      <c r="AZ899" s="34"/>
      <c r="BB899" s="30"/>
      <c r="BC899" s="850"/>
      <c r="BD899" s="1657"/>
      <c r="BE899" s="1657"/>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399"/>
      <c r="AA900" s="1400"/>
      <c r="AB900" s="1400"/>
      <c r="AC900" s="1400"/>
      <c r="AD900" s="1400"/>
      <c r="AE900" s="1401"/>
      <c r="AZ900" s="34"/>
      <c r="BB900" s="30"/>
      <c r="BC900" s="850"/>
      <c r="BD900" s="1658"/>
      <c r="BE900" s="1658"/>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630">
        <f>Z898-(Z899+Z900)</f>
        <v>0</v>
      </c>
      <c r="AA901" s="1631"/>
      <c r="AB901" s="1631"/>
      <c r="AC901" s="1631"/>
      <c r="AD901" s="1631"/>
      <c r="AE901" s="1632"/>
      <c r="AZ901" s="34"/>
      <c r="BB901" s="30"/>
      <c r="BC901" s="850"/>
      <c r="BD901" s="1658"/>
      <c r="BE901" s="1658"/>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58"/>
      <c r="BE902" s="1658"/>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57"/>
      <c r="BE903" s="1658"/>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56"/>
      <c r="BE904" s="1656"/>
      <c r="BF904" s="1656"/>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55"/>
      <c r="BE905" s="1655"/>
      <c r="BF905" s="1655"/>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58"/>
      <c r="BE906" s="1658"/>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57"/>
      <c r="BE907" s="1658"/>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73" t="s">
        <v>96</v>
      </c>
      <c r="B909" s="1573"/>
      <c r="C909" s="1573"/>
      <c r="D909" s="1573"/>
      <c r="E909" s="1573"/>
      <c r="F909" s="1573"/>
      <c r="G909" s="1573"/>
      <c r="H909" s="1573"/>
      <c r="I909" s="1573"/>
      <c r="J909" s="1573"/>
      <c r="K909" s="1573"/>
      <c r="L909" s="1573"/>
      <c r="M909" s="1573"/>
      <c r="N909" s="1573"/>
      <c r="O909" s="1573"/>
      <c r="P909" s="1573"/>
      <c r="Q909" s="1573"/>
      <c r="R909" s="1573"/>
      <c r="S909" s="1573"/>
      <c r="T909" s="1573"/>
      <c r="U909" s="1573"/>
      <c r="V909" s="1573"/>
      <c r="W909" s="1573"/>
      <c r="X909" s="1573"/>
      <c r="Y909" s="1573"/>
      <c r="Z909" s="1573"/>
      <c r="AA909" s="1573"/>
      <c r="AB909" s="1573"/>
      <c r="AC909" s="1573"/>
      <c r="AD909" s="1573"/>
      <c r="AE909" s="1573"/>
      <c r="AF909" s="1573"/>
      <c r="AG909" s="1573"/>
      <c r="AH909" s="1573"/>
      <c r="AI909" s="1573"/>
      <c r="AJ909" s="1573"/>
      <c r="AK909" s="1573"/>
      <c r="AL909" s="1573"/>
      <c r="AM909" s="1573"/>
      <c r="AN909" s="1573"/>
      <c r="AO909" s="1573"/>
      <c r="AP909" s="1573"/>
      <c r="AQ909" s="1573"/>
      <c r="AR909" s="1573"/>
      <c r="AS909" s="1573"/>
      <c r="AT909" s="1573"/>
      <c r="AZ909" s="34"/>
      <c r="BA909" s="34"/>
      <c r="BB909" s="30"/>
      <c r="BC909" s="30"/>
      <c r="BD909" s="1657"/>
      <c r="BE909" s="1658"/>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73"/>
      <c r="B910" s="1573"/>
      <c r="C910" s="1573"/>
      <c r="D910" s="1573"/>
      <c r="E910" s="1573"/>
      <c r="F910" s="1573"/>
      <c r="G910" s="1573"/>
      <c r="H910" s="1573"/>
      <c r="I910" s="1573"/>
      <c r="J910" s="1573"/>
      <c r="K910" s="1573"/>
      <c r="L910" s="1573"/>
      <c r="M910" s="1573"/>
      <c r="N910" s="1573"/>
      <c r="O910" s="1573"/>
      <c r="P910" s="1573"/>
      <c r="Q910" s="1573"/>
      <c r="R910" s="1573"/>
      <c r="S910" s="1573"/>
      <c r="T910" s="1573"/>
      <c r="U910" s="1573"/>
      <c r="V910" s="1573"/>
      <c r="W910" s="1573"/>
      <c r="X910" s="1573"/>
      <c r="Y910" s="1573"/>
      <c r="Z910" s="1573"/>
      <c r="AA910" s="1573"/>
      <c r="AB910" s="1573"/>
      <c r="AC910" s="1573"/>
      <c r="AD910" s="1573"/>
      <c r="AE910" s="1573"/>
      <c r="AF910" s="1573"/>
      <c r="AG910" s="1573"/>
      <c r="AH910" s="1573"/>
      <c r="AI910" s="1573"/>
      <c r="AJ910" s="1573"/>
      <c r="AK910" s="1573"/>
      <c r="AL910" s="1573"/>
      <c r="AM910" s="1573"/>
      <c r="AN910" s="1573"/>
      <c r="AO910" s="1573"/>
      <c r="AP910" s="1573"/>
      <c r="AQ910" s="1573"/>
      <c r="AR910" s="1573"/>
      <c r="AS910" s="1573"/>
      <c r="AT910" s="1573"/>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50" t="s">
        <v>802</v>
      </c>
      <c r="G914" s="1851"/>
      <c r="H914" s="1851"/>
      <c r="I914" s="1851"/>
      <c r="J914" s="1851"/>
      <c r="K914" s="1851"/>
      <c r="L914" s="1851"/>
      <c r="M914" s="1851"/>
      <c r="N914" s="1851"/>
      <c r="O914" s="1851"/>
      <c r="P914" s="1851"/>
      <c r="Q914" s="1851"/>
      <c r="R914" s="1851"/>
      <c r="S914" s="1851"/>
      <c r="T914" s="1852"/>
      <c r="U914" s="1786" t="s">
        <v>31</v>
      </c>
      <c r="V914" s="1744"/>
      <c r="W914" s="1744"/>
      <c r="X914" s="1744"/>
      <c r="Y914" s="1744"/>
      <c r="Z914" s="1744"/>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87" t="s">
        <v>828</v>
      </c>
      <c r="G915" s="1788"/>
      <c r="H915" s="1788"/>
      <c r="I915" s="1788"/>
      <c r="J915" s="1788"/>
      <c r="K915" s="1788"/>
      <c r="L915" s="1788"/>
      <c r="M915" s="1788"/>
      <c r="N915" s="1788"/>
      <c r="O915" s="1788"/>
      <c r="P915" s="1788"/>
      <c r="Q915" s="1788"/>
      <c r="R915" s="1788"/>
      <c r="S915" s="1788"/>
      <c r="T915" s="1794"/>
      <c r="U915" s="1787"/>
      <c r="V915" s="1788"/>
      <c r="W915" s="1788"/>
      <c r="X915" s="1788"/>
      <c r="Y915" s="1788"/>
      <c r="Z915" s="1788"/>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89"/>
      <c r="G916" s="1746"/>
      <c r="H916" s="1746"/>
      <c r="I916" s="1746"/>
      <c r="J916" s="1746"/>
      <c r="K916" s="1746"/>
      <c r="L916" s="1746"/>
      <c r="M916" s="1746"/>
      <c r="N916" s="1746"/>
      <c r="O916" s="1746"/>
      <c r="P916" s="1746"/>
      <c r="Q916" s="1746"/>
      <c r="R916" s="1746"/>
      <c r="S916" s="1746"/>
      <c r="T916" s="1747"/>
      <c r="U916" s="1789"/>
      <c r="V916" s="1746"/>
      <c r="W916" s="1746"/>
      <c r="X916" s="1746"/>
      <c r="Y916" s="1746"/>
      <c r="Z916" s="1746"/>
      <c r="AA916" s="108"/>
      <c r="AB916" s="1455" t="s">
        <v>392</v>
      </c>
      <c r="AC916" s="1455"/>
      <c r="AD916" s="1455"/>
      <c r="AE916" s="1455"/>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768</v>
      </c>
      <c r="G917" s="48"/>
      <c r="H917" s="48"/>
      <c r="I917" s="48"/>
      <c r="J917" s="48"/>
      <c r="K917" s="48"/>
      <c r="L917" s="48"/>
      <c r="M917" s="48"/>
      <c r="N917" s="48"/>
      <c r="O917" s="48"/>
      <c r="P917" s="48"/>
      <c r="Q917" s="48"/>
      <c r="R917" s="48"/>
      <c r="S917" s="48"/>
      <c r="T917" s="49"/>
      <c r="U917" s="1652" t="s">
        <v>554</v>
      </c>
      <c r="V917" s="1434"/>
      <c r="W917" s="1434"/>
      <c r="X917" s="1434"/>
      <c r="Y917" s="1434"/>
      <c r="Z917" s="1435"/>
      <c r="AA917" s="1653">
        <v>52724987</v>
      </c>
      <c r="AB917" s="1514"/>
      <c r="AC917" s="1514"/>
      <c r="AD917" s="1514"/>
      <c r="AE917" s="1514"/>
      <c r="AF917" s="1654"/>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684</v>
      </c>
      <c r="G918" s="48"/>
      <c r="H918" s="48"/>
      <c r="I918" s="48"/>
      <c r="J918" s="48"/>
      <c r="K918" s="48"/>
      <c r="L918" s="48"/>
      <c r="M918" s="48"/>
      <c r="N918" s="48"/>
      <c r="O918" s="48"/>
      <c r="P918" s="48"/>
      <c r="Q918" s="48"/>
      <c r="R918" s="48"/>
      <c r="S918" s="48"/>
      <c r="T918" s="49"/>
      <c r="U918" s="1652" t="s">
        <v>554</v>
      </c>
      <c r="V918" s="1434"/>
      <c r="W918" s="1434"/>
      <c r="X918" s="1434"/>
      <c r="Y918" s="1434"/>
      <c r="Z918" s="1435"/>
      <c r="AA918" s="1653">
        <v>20953377</v>
      </c>
      <c r="AB918" s="1514"/>
      <c r="AC918" s="1514"/>
      <c r="AD918" s="1514"/>
      <c r="AE918" s="1514"/>
      <c r="AF918" s="1654"/>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811</v>
      </c>
      <c r="G919" s="5"/>
      <c r="H919" s="5"/>
      <c r="I919" s="5"/>
      <c r="J919" s="5"/>
      <c r="K919" s="5"/>
      <c r="L919" s="5"/>
      <c r="M919" s="5"/>
      <c r="N919" s="5"/>
      <c r="O919" s="5"/>
      <c r="P919" s="5"/>
      <c r="Q919" s="5"/>
      <c r="R919" s="5"/>
      <c r="S919" s="5"/>
      <c r="T919" s="46"/>
      <c r="U919" s="1652" t="s">
        <v>554</v>
      </c>
      <c r="V919" s="1434"/>
      <c r="W919" s="1434"/>
      <c r="X919" s="1434"/>
      <c r="Y919" s="1434"/>
      <c r="Z919" s="1435"/>
      <c r="AA919" s="1653">
        <v>2074732</v>
      </c>
      <c r="AB919" s="1514"/>
      <c r="AC919" s="1514"/>
      <c r="AD919" s="1514"/>
      <c r="AE919" s="1514"/>
      <c r="AF919" s="1654"/>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687</v>
      </c>
      <c r="G920" s="5"/>
      <c r="H920" s="5"/>
      <c r="I920" s="5"/>
      <c r="J920" s="5"/>
      <c r="K920" s="5"/>
      <c r="L920" s="5"/>
      <c r="M920" s="5"/>
      <c r="N920" s="5"/>
      <c r="O920" s="5"/>
      <c r="P920" s="5"/>
      <c r="Q920" s="5"/>
      <c r="R920" s="5"/>
      <c r="S920" s="5"/>
      <c r="T920" s="46"/>
      <c r="U920" s="1652" t="s">
        <v>600</v>
      </c>
      <c r="V920" s="1434"/>
      <c r="W920" s="1434"/>
      <c r="X920" s="1434"/>
      <c r="Y920" s="1434"/>
      <c r="Z920" s="1435"/>
      <c r="AA920" s="1653"/>
      <c r="AB920" s="1514"/>
      <c r="AC920" s="1514"/>
      <c r="AD920" s="1514"/>
      <c r="AE920" s="1514"/>
      <c r="AF920" s="1654"/>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796</v>
      </c>
      <c r="G921" s="5"/>
      <c r="H921" s="5"/>
      <c r="I921" s="5"/>
      <c r="J921" s="5"/>
      <c r="K921" s="5"/>
      <c r="L921" s="5"/>
      <c r="M921" s="5"/>
      <c r="N921" s="5"/>
      <c r="O921" s="5"/>
      <c r="P921" s="5"/>
      <c r="Q921" s="5"/>
      <c r="R921" s="5"/>
      <c r="S921" s="5"/>
      <c r="T921" s="46"/>
      <c r="U921" s="1652" t="s">
        <v>600</v>
      </c>
      <c r="V921" s="1434"/>
      <c r="W921" s="1434"/>
      <c r="X921" s="1434"/>
      <c r="Y921" s="1434"/>
      <c r="Z921" s="1435"/>
      <c r="AA921" s="1653"/>
      <c r="AB921" s="1514"/>
      <c r="AC921" s="1514"/>
      <c r="AD921" s="1514"/>
      <c r="AE921" s="1514"/>
      <c r="AF921" s="1654"/>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797</v>
      </c>
      <c r="G922" s="5"/>
      <c r="H922" s="5"/>
      <c r="I922" s="5"/>
      <c r="J922" s="5"/>
      <c r="K922" s="5"/>
      <c r="L922" s="5"/>
      <c r="M922" s="5"/>
      <c r="N922" s="5"/>
      <c r="O922" s="5"/>
      <c r="P922" s="5"/>
      <c r="Q922" s="5"/>
      <c r="R922" s="5"/>
      <c r="S922" s="5"/>
      <c r="T922" s="46"/>
      <c r="U922" s="1652" t="s">
        <v>600</v>
      </c>
      <c r="V922" s="1434"/>
      <c r="W922" s="1434"/>
      <c r="X922" s="1434"/>
      <c r="Y922" s="1434"/>
      <c r="Z922" s="1435"/>
      <c r="AA922" s="1653"/>
      <c r="AB922" s="1514"/>
      <c r="AC922" s="1514"/>
      <c r="AD922" s="1514"/>
      <c r="AE922" s="1514"/>
      <c r="AF922" s="1654"/>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798</v>
      </c>
      <c r="G923" s="5"/>
      <c r="H923" s="5"/>
      <c r="I923" s="5"/>
      <c r="J923" s="5"/>
      <c r="K923" s="5"/>
      <c r="L923" s="5"/>
      <c r="M923" s="5"/>
      <c r="N923" s="5"/>
      <c r="O923" s="5"/>
      <c r="P923" s="5"/>
      <c r="Q923" s="5"/>
      <c r="R923" s="5"/>
      <c r="S923" s="5"/>
      <c r="T923" s="46"/>
      <c r="U923" s="1652" t="s">
        <v>600</v>
      </c>
      <c r="V923" s="1434"/>
      <c r="W923" s="1434"/>
      <c r="X923" s="1434"/>
      <c r="Y923" s="1434"/>
      <c r="Z923" s="1435"/>
      <c r="AA923" s="1653"/>
      <c r="AB923" s="1514"/>
      <c r="AC923" s="1514"/>
      <c r="AD923" s="1514"/>
      <c r="AE923" s="1514"/>
      <c r="AF923" s="1654"/>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686</v>
      </c>
      <c r="G924" s="5"/>
      <c r="H924" s="5"/>
      <c r="I924" s="5"/>
      <c r="J924" s="5"/>
      <c r="K924" s="5"/>
      <c r="L924" s="5"/>
      <c r="M924" s="5"/>
      <c r="N924" s="5"/>
      <c r="O924" s="5"/>
      <c r="P924" s="5"/>
      <c r="Q924" s="5"/>
      <c r="R924" s="5"/>
      <c r="S924" s="5"/>
      <c r="T924" s="46"/>
      <c r="U924" s="1652" t="s">
        <v>600</v>
      </c>
      <c r="V924" s="1434"/>
      <c r="W924" s="1434"/>
      <c r="X924" s="1434"/>
      <c r="Y924" s="1434"/>
      <c r="Z924" s="1435"/>
      <c r="AA924" s="1653"/>
      <c r="AB924" s="1514"/>
      <c r="AC924" s="1514"/>
      <c r="AD924" s="1514"/>
      <c r="AE924" s="1514"/>
      <c r="AF924" s="1654"/>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68" t="s">
        <v>2555</v>
      </c>
      <c r="G925" s="1669"/>
      <c r="H925" s="1669"/>
      <c r="I925" s="1669"/>
      <c r="J925" s="1669"/>
      <c r="K925" s="1669"/>
      <c r="L925" s="1669"/>
      <c r="M925" s="1669"/>
      <c r="N925" s="1669"/>
      <c r="O925" s="1669"/>
      <c r="P925" s="1669"/>
      <c r="Q925" s="1669"/>
      <c r="R925" s="1669"/>
      <c r="S925" s="1669"/>
      <c r="T925" s="1670"/>
      <c r="U925" s="1652" t="s">
        <v>600</v>
      </c>
      <c r="V925" s="1434"/>
      <c r="W925" s="1434"/>
      <c r="X925" s="1434"/>
      <c r="Y925" s="1434"/>
      <c r="Z925" s="1435"/>
      <c r="AA925" s="1653"/>
      <c r="AB925" s="1514"/>
      <c r="AC925" s="1514"/>
      <c r="AD925" s="1514"/>
      <c r="AE925" s="1514"/>
      <c r="AF925" s="1654"/>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68" t="s">
        <v>688</v>
      </c>
      <c r="G926" s="1669"/>
      <c r="H926" s="1669"/>
      <c r="I926" s="1669"/>
      <c r="J926" s="1669"/>
      <c r="K926" s="1669"/>
      <c r="L926" s="1669"/>
      <c r="M926" s="1669"/>
      <c r="N926" s="1669"/>
      <c r="O926" s="1669"/>
      <c r="P926" s="1669"/>
      <c r="Q926" s="1669"/>
      <c r="R926" s="1669"/>
      <c r="S926" s="1669"/>
      <c r="T926" s="1670"/>
      <c r="U926" s="1652" t="s">
        <v>600</v>
      </c>
      <c r="V926" s="1434"/>
      <c r="W926" s="1434"/>
      <c r="X926" s="1434"/>
      <c r="Y926" s="1434"/>
      <c r="Z926" s="1435"/>
      <c r="AA926" s="1653"/>
      <c r="AB926" s="1514"/>
      <c r="AC926" s="1514"/>
      <c r="AD926" s="1514"/>
      <c r="AE926" s="1514"/>
      <c r="AF926" s="1654"/>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68" t="s">
        <v>2556</v>
      </c>
      <c r="G927" s="1669"/>
      <c r="H927" s="1669"/>
      <c r="I927" s="1669"/>
      <c r="J927" s="1669"/>
      <c r="K927" s="1669"/>
      <c r="L927" s="1669"/>
      <c r="M927" s="1669"/>
      <c r="N927" s="1669"/>
      <c r="O927" s="1669"/>
      <c r="P927" s="1669"/>
      <c r="Q927" s="1669"/>
      <c r="R927" s="1669"/>
      <c r="S927" s="1669"/>
      <c r="T927" s="1670"/>
      <c r="U927" s="1652" t="s">
        <v>600</v>
      </c>
      <c r="V927" s="1434"/>
      <c r="W927" s="1434"/>
      <c r="X927" s="1434"/>
      <c r="Y927" s="1434"/>
      <c r="Z927" s="1435"/>
      <c r="AA927" s="1653"/>
      <c r="AB927" s="1514"/>
      <c r="AC927" s="1514"/>
      <c r="AD927" s="1514"/>
      <c r="AE927" s="1514"/>
      <c r="AF927" s="1654"/>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68" t="s">
        <v>2557</v>
      </c>
      <c r="G928" s="1669"/>
      <c r="H928" s="1669"/>
      <c r="I928" s="1669"/>
      <c r="J928" s="1669"/>
      <c r="K928" s="1669"/>
      <c r="L928" s="1669"/>
      <c r="M928" s="1669"/>
      <c r="N928" s="1669"/>
      <c r="O928" s="1669"/>
      <c r="P928" s="1669"/>
      <c r="Q928" s="1669"/>
      <c r="R928" s="1669"/>
      <c r="S928" s="1669"/>
      <c r="T928" s="1670"/>
      <c r="U928" s="1652" t="s">
        <v>600</v>
      </c>
      <c r="V928" s="1434"/>
      <c r="W928" s="1434"/>
      <c r="X928" s="1434"/>
      <c r="Y928" s="1434"/>
      <c r="Z928" s="1435"/>
      <c r="AA928" s="1653"/>
      <c r="AB928" s="1514"/>
      <c r="AC928" s="1514"/>
      <c r="AD928" s="1514"/>
      <c r="AE928" s="1514"/>
      <c r="AF928" s="1654"/>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68" t="s">
        <v>2558</v>
      </c>
      <c r="G929" s="1669"/>
      <c r="H929" s="1669"/>
      <c r="I929" s="1669"/>
      <c r="J929" s="1669"/>
      <c r="K929" s="1669"/>
      <c r="L929" s="1669"/>
      <c r="M929" s="1669"/>
      <c r="N929" s="1669"/>
      <c r="O929" s="1669"/>
      <c r="P929" s="1669"/>
      <c r="Q929" s="1669"/>
      <c r="R929" s="1669"/>
      <c r="S929" s="1669"/>
      <c r="T929" s="1670"/>
      <c r="U929" s="1652" t="s">
        <v>600</v>
      </c>
      <c r="V929" s="1434"/>
      <c r="W929" s="1434"/>
      <c r="X929" s="1434"/>
      <c r="Y929" s="1434"/>
      <c r="Z929" s="1435"/>
      <c r="AA929" s="1653"/>
      <c r="AB929" s="1514"/>
      <c r="AC929" s="1514"/>
      <c r="AD929" s="1514"/>
      <c r="AE929" s="1514"/>
      <c r="AF929" s="1654"/>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68" t="s">
        <v>2559</v>
      </c>
      <c r="G930" s="1669"/>
      <c r="H930" s="1669"/>
      <c r="I930" s="1669"/>
      <c r="J930" s="1669"/>
      <c r="K930" s="1669"/>
      <c r="L930" s="1669"/>
      <c r="M930" s="1669"/>
      <c r="N930" s="1669"/>
      <c r="O930" s="1669"/>
      <c r="P930" s="1669"/>
      <c r="Q930" s="1669"/>
      <c r="R930" s="1669"/>
      <c r="S930" s="1669"/>
      <c r="T930" s="1670"/>
      <c r="U930" s="1652" t="s">
        <v>600</v>
      </c>
      <c r="V930" s="1434"/>
      <c r="W930" s="1434"/>
      <c r="X930" s="1434"/>
      <c r="Y930" s="1434"/>
      <c r="Z930" s="1435"/>
      <c r="AA930" s="1653"/>
      <c r="AB930" s="1514"/>
      <c r="AC930" s="1514"/>
      <c r="AD930" s="1514"/>
      <c r="AE930" s="1514"/>
      <c r="AF930" s="1654"/>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68" t="s">
        <v>2560</v>
      </c>
      <c r="G931" s="1669"/>
      <c r="H931" s="1669"/>
      <c r="I931" s="1669"/>
      <c r="J931" s="1669"/>
      <c r="K931" s="1669"/>
      <c r="L931" s="1669"/>
      <c r="M931" s="1669"/>
      <c r="N931" s="1669"/>
      <c r="O931" s="1669"/>
      <c r="P931" s="1669"/>
      <c r="Q931" s="1669"/>
      <c r="R931" s="1669"/>
      <c r="S931" s="1669"/>
      <c r="T931" s="1670"/>
      <c r="U931" s="1652" t="s">
        <v>600</v>
      </c>
      <c r="V931" s="1434"/>
      <c r="W931" s="1434"/>
      <c r="X931" s="1434"/>
      <c r="Y931" s="1434"/>
      <c r="Z931" s="1435"/>
      <c r="AA931" s="1653"/>
      <c r="AB931" s="1514"/>
      <c r="AC931" s="1514"/>
      <c r="AD931" s="1514"/>
      <c r="AE931" s="1514"/>
      <c r="AF931" s="1654"/>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685</v>
      </c>
      <c r="G932" s="5"/>
      <c r="H932" s="5"/>
      <c r="I932" s="5"/>
      <c r="J932" s="5"/>
      <c r="K932" s="5"/>
      <c r="L932" s="5"/>
      <c r="M932" s="5"/>
      <c r="N932" s="5"/>
      <c r="O932" s="5"/>
      <c r="P932" s="5"/>
      <c r="Q932" s="5"/>
      <c r="R932" s="5"/>
      <c r="S932" s="5"/>
      <c r="T932" s="46"/>
      <c r="U932" s="1652" t="s">
        <v>600</v>
      </c>
      <c r="V932" s="1434"/>
      <c r="W932" s="1434"/>
      <c r="X932" s="1434"/>
      <c r="Y932" s="1434"/>
      <c r="Z932" s="1435"/>
      <c r="AA932" s="1653"/>
      <c r="AB932" s="1514"/>
      <c r="AC932" s="1514"/>
      <c r="AD932" s="1514"/>
      <c r="AE932" s="1514"/>
      <c r="AF932" s="1654"/>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1387</v>
      </c>
      <c r="G933" s="5"/>
      <c r="H933" s="5"/>
      <c r="I933" s="5"/>
      <c r="J933" s="5"/>
      <c r="K933" s="5"/>
      <c r="L933" s="5"/>
      <c r="M933" s="5"/>
      <c r="N933" s="5"/>
      <c r="O933" s="5"/>
      <c r="P933" s="5"/>
      <c r="Q933" s="5"/>
      <c r="R933" s="5"/>
      <c r="S933" s="5"/>
      <c r="T933" s="46"/>
      <c r="U933" s="1652" t="s">
        <v>600</v>
      </c>
      <c r="V933" s="1434"/>
      <c r="W933" s="1434"/>
      <c r="X933" s="1434"/>
      <c r="Y933" s="1434"/>
      <c r="Z933" s="1435"/>
      <c r="AA933" s="1653"/>
      <c r="AB933" s="1514"/>
      <c r="AC933" s="1514"/>
      <c r="AD933" s="1514"/>
      <c r="AE933" s="1514"/>
      <c r="AF933" s="1654"/>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812</v>
      </c>
      <c r="G934" s="5"/>
      <c r="H934" s="5"/>
      <c r="I934" s="5"/>
      <c r="J934" s="5"/>
      <c r="K934" s="5"/>
      <c r="L934" s="5"/>
      <c r="M934" s="5"/>
      <c r="N934" s="5"/>
      <c r="O934" s="5"/>
      <c r="P934" s="5"/>
      <c r="Q934" s="5"/>
      <c r="R934" s="5"/>
      <c r="S934" s="5"/>
      <c r="T934" s="46"/>
      <c r="U934" s="1652" t="s">
        <v>600</v>
      </c>
      <c r="V934" s="1434"/>
      <c r="W934" s="1434"/>
      <c r="X934" s="1434"/>
      <c r="Y934" s="1434"/>
      <c r="Z934" s="1435"/>
      <c r="AA934" s="1653"/>
      <c r="AB934" s="1514"/>
      <c r="AC934" s="1514"/>
      <c r="AD934" s="1514"/>
      <c r="AE934" s="1514"/>
      <c r="AF934" s="1654"/>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49" t="s">
        <v>2564</v>
      </c>
      <c r="G935" s="1650"/>
      <c r="H935" s="1650"/>
      <c r="I935" s="1650"/>
      <c r="J935" s="1650"/>
      <c r="K935" s="1650"/>
      <c r="L935" s="1650"/>
      <c r="M935" s="1650"/>
      <c r="N935" s="1650"/>
      <c r="O935" s="1650"/>
      <c r="P935" s="1650"/>
      <c r="Q935" s="1650"/>
      <c r="R935" s="1650"/>
      <c r="S935" s="1650"/>
      <c r="T935" s="1651"/>
      <c r="U935" s="1652" t="s">
        <v>600</v>
      </c>
      <c r="V935" s="1434"/>
      <c r="W935" s="1434"/>
      <c r="X935" s="1434"/>
      <c r="Y935" s="1434"/>
      <c r="Z935" s="1435"/>
      <c r="AA935" s="1653"/>
      <c r="AB935" s="1514"/>
      <c r="AC935" s="1514"/>
      <c r="AD935" s="1514"/>
      <c r="AE935" s="1514"/>
      <c r="AF935" s="1654"/>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49" t="s">
        <v>2565</v>
      </c>
      <c r="G936" s="1650"/>
      <c r="H936" s="1650"/>
      <c r="I936" s="1650"/>
      <c r="J936" s="1650"/>
      <c r="K936" s="1650"/>
      <c r="L936" s="1650"/>
      <c r="M936" s="1650"/>
      <c r="N936" s="1650"/>
      <c r="O936" s="1650"/>
      <c r="P936" s="1650"/>
      <c r="Q936" s="1650"/>
      <c r="R936" s="1650"/>
      <c r="S936" s="1650"/>
      <c r="T936" s="1651"/>
      <c r="U936" s="1652" t="s">
        <v>600</v>
      </c>
      <c r="V936" s="1434"/>
      <c r="W936" s="1434"/>
      <c r="X936" s="1434"/>
      <c r="Y936" s="1434"/>
      <c r="Z936" s="1435"/>
      <c r="AA936" s="1653"/>
      <c r="AB936" s="1514"/>
      <c r="AC936" s="1514"/>
      <c r="AD936" s="1514"/>
      <c r="AE936" s="1514"/>
      <c r="AF936" s="1654"/>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68" t="s">
        <v>2561</v>
      </c>
      <c r="G937" s="1669"/>
      <c r="H937" s="1669"/>
      <c r="I937" s="1669"/>
      <c r="J937" s="1669"/>
      <c r="K937" s="1669"/>
      <c r="L937" s="1669"/>
      <c r="M937" s="1669"/>
      <c r="N937" s="1669"/>
      <c r="O937" s="1669"/>
      <c r="P937" s="1669"/>
      <c r="Q937" s="1669"/>
      <c r="R937" s="1669"/>
      <c r="S937" s="1669"/>
      <c r="T937" s="1670"/>
      <c r="U937" s="1652" t="s">
        <v>600</v>
      </c>
      <c r="V937" s="1434"/>
      <c r="W937" s="1434"/>
      <c r="X937" s="1434"/>
      <c r="Y937" s="1434"/>
      <c r="Z937" s="1435"/>
      <c r="AA937" s="1653"/>
      <c r="AB937" s="1514"/>
      <c r="AC937" s="1514"/>
      <c r="AD937" s="1514"/>
      <c r="AE937" s="1514"/>
      <c r="AF937" s="1654"/>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68" t="s">
        <v>2562</v>
      </c>
      <c r="G938" s="1669"/>
      <c r="H938" s="1669"/>
      <c r="I938" s="1669"/>
      <c r="J938" s="1669"/>
      <c r="K938" s="1669"/>
      <c r="L938" s="1669"/>
      <c r="M938" s="1669"/>
      <c r="N938" s="1669"/>
      <c r="O938" s="1669"/>
      <c r="P938" s="1669"/>
      <c r="Q938" s="1669"/>
      <c r="R938" s="1669"/>
      <c r="S938" s="1669"/>
      <c r="T938" s="1670"/>
      <c r="U938" s="1652" t="s">
        <v>600</v>
      </c>
      <c r="V938" s="1434"/>
      <c r="W938" s="1434"/>
      <c r="X938" s="1434"/>
      <c r="Y938" s="1434"/>
      <c r="Z938" s="1435"/>
      <c r="AA938" s="1653"/>
      <c r="AB938" s="1514"/>
      <c r="AC938" s="1514"/>
      <c r="AD938" s="1514"/>
      <c r="AE938" s="1514"/>
      <c r="AF938" s="1654"/>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68" t="s">
        <v>2563</v>
      </c>
      <c r="G939" s="1669"/>
      <c r="H939" s="1669"/>
      <c r="I939" s="1669"/>
      <c r="J939" s="1669"/>
      <c r="K939" s="1669"/>
      <c r="L939" s="1669"/>
      <c r="M939" s="1669"/>
      <c r="N939" s="1669"/>
      <c r="O939" s="1669"/>
      <c r="P939" s="1669"/>
      <c r="Q939" s="1669"/>
      <c r="R939" s="1669"/>
      <c r="S939" s="1669"/>
      <c r="T939" s="1670"/>
      <c r="U939" s="1652" t="s">
        <v>600</v>
      </c>
      <c r="V939" s="1434"/>
      <c r="W939" s="1434"/>
      <c r="X939" s="1434"/>
      <c r="Y939" s="1434"/>
      <c r="Z939" s="1435"/>
      <c r="AA939" s="1653"/>
      <c r="AB939" s="1514"/>
      <c r="AC939" s="1514"/>
      <c r="AD939" s="1514"/>
      <c r="AE939" s="1514"/>
      <c r="AF939" s="1654"/>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1371</v>
      </c>
      <c r="G940" s="5"/>
      <c r="H940" s="5"/>
      <c r="I940" s="5"/>
      <c r="J940" s="5"/>
      <c r="K940" s="5"/>
      <c r="L940" s="5"/>
      <c r="M940" s="5"/>
      <c r="N940" s="5"/>
      <c r="O940" s="5"/>
      <c r="P940" s="5"/>
      <c r="Q940" s="5"/>
      <c r="R940" s="5"/>
      <c r="S940" s="5"/>
      <c r="T940" s="46"/>
      <c r="U940" s="1652" t="s">
        <v>600</v>
      </c>
      <c r="V940" s="1434"/>
      <c r="W940" s="1434"/>
      <c r="X940" s="1434"/>
      <c r="Y940" s="1434"/>
      <c r="Z940" s="1435"/>
      <c r="AA940" s="1653"/>
      <c r="AB940" s="1514"/>
      <c r="AC940" s="1514"/>
      <c r="AD940" s="1514"/>
      <c r="AE940" s="1514"/>
      <c r="AF940" s="1654"/>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49" t="s">
        <v>2566</v>
      </c>
      <c r="G941" s="1650"/>
      <c r="H941" s="1650"/>
      <c r="I941" s="1650"/>
      <c r="J941" s="1650"/>
      <c r="K941" s="1650"/>
      <c r="L941" s="1650"/>
      <c r="M941" s="1650"/>
      <c r="N941" s="1650"/>
      <c r="O941" s="1650"/>
      <c r="P941" s="1650"/>
      <c r="Q941" s="1650"/>
      <c r="R941" s="1650"/>
      <c r="S941" s="1650"/>
      <c r="T941" s="1651"/>
      <c r="U941" s="1652" t="s">
        <v>600</v>
      </c>
      <c r="V941" s="1434"/>
      <c r="W941" s="1434"/>
      <c r="X941" s="1434"/>
      <c r="Y941" s="1434"/>
      <c r="Z941" s="1435"/>
      <c r="AA941" s="1653"/>
      <c r="AB941" s="1514"/>
      <c r="AC941" s="1514"/>
      <c r="AD941" s="1514"/>
      <c r="AE941" s="1514"/>
      <c r="AF941" s="1654"/>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1372</v>
      </c>
      <c r="G942" s="5"/>
      <c r="H942" s="5"/>
      <c r="I942" s="5"/>
      <c r="J942" s="5"/>
      <c r="K942" s="5"/>
      <c r="L942" s="5"/>
      <c r="M942" s="5"/>
      <c r="N942" s="5"/>
      <c r="O942" s="5"/>
      <c r="P942" s="5"/>
      <c r="Q942" s="5"/>
      <c r="R942" s="5"/>
      <c r="S942" s="5"/>
      <c r="T942" s="46"/>
      <c r="U942" s="1652" t="s">
        <v>600</v>
      </c>
      <c r="V942" s="1434"/>
      <c r="W942" s="1434"/>
      <c r="X942" s="1434"/>
      <c r="Y942" s="1434"/>
      <c r="Z942" s="1435"/>
      <c r="AA942" s="1653"/>
      <c r="AB942" s="1514"/>
      <c r="AC942" s="1514"/>
      <c r="AD942" s="1514"/>
      <c r="AE942" s="1514"/>
      <c r="AF942" s="1654"/>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49" t="s">
        <v>2567</v>
      </c>
      <c r="G943" s="1650"/>
      <c r="H943" s="1650"/>
      <c r="I943" s="1650"/>
      <c r="J943" s="1650"/>
      <c r="K943" s="1650"/>
      <c r="L943" s="1650"/>
      <c r="M943" s="1650"/>
      <c r="N943" s="1650"/>
      <c r="O943" s="1650"/>
      <c r="P943" s="1650"/>
      <c r="Q943" s="1650"/>
      <c r="R943" s="1650"/>
      <c r="S943" s="1650"/>
      <c r="T943" s="1651"/>
      <c r="U943" s="1652" t="s">
        <v>600</v>
      </c>
      <c r="V943" s="1434"/>
      <c r="W943" s="1434"/>
      <c r="X943" s="1434"/>
      <c r="Y943" s="1434"/>
      <c r="Z943" s="1435"/>
      <c r="AA943" s="1653"/>
      <c r="AB943" s="1514"/>
      <c r="AC943" s="1514"/>
      <c r="AD943" s="1514"/>
      <c r="AE943" s="1514"/>
      <c r="AF943" s="1654"/>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816</v>
      </c>
      <c r="G944" s="5"/>
      <c r="H944" s="5"/>
      <c r="I944" s="5"/>
      <c r="J944" s="5"/>
      <c r="K944" s="5"/>
      <c r="L944" s="5"/>
      <c r="M944" s="5"/>
      <c r="N944" s="5"/>
      <c r="O944" s="5"/>
      <c r="P944" s="1652" t="s">
        <v>678</v>
      </c>
      <c r="Q944" s="1434"/>
      <c r="R944" s="1434"/>
      <c r="S944" s="1434"/>
      <c r="T944" s="1435"/>
      <c r="U944" s="1652" t="s">
        <v>600</v>
      </c>
      <c r="V944" s="1434"/>
      <c r="W944" s="1434"/>
      <c r="X944" s="1434"/>
      <c r="Y944" s="1434"/>
      <c r="Z944" s="1435"/>
      <c r="AA944" s="1653"/>
      <c r="AB944" s="1514"/>
      <c r="AC944" s="1514"/>
      <c r="AD944" s="1514"/>
      <c r="AE944" s="1514"/>
      <c r="AF944" s="1654"/>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68" t="s">
        <v>2554</v>
      </c>
      <c r="G945" s="1669"/>
      <c r="H945" s="1670"/>
      <c r="I945" s="1641" t="s">
        <v>335</v>
      </c>
      <c r="J945" s="1642"/>
      <c r="K945" s="1642"/>
      <c r="L945" s="1642"/>
      <c r="M945" s="1642"/>
      <c r="N945" s="1642"/>
      <c r="O945" s="1642"/>
      <c r="P945" s="1642"/>
      <c r="Q945" s="1642"/>
      <c r="R945" s="1642"/>
      <c r="S945" s="1642"/>
      <c r="T945" s="1643"/>
      <c r="U945" s="1652" t="s">
        <v>600</v>
      </c>
      <c r="V945" s="1434"/>
      <c r="W945" s="1434"/>
      <c r="X945" s="1434"/>
      <c r="Y945" s="1434"/>
      <c r="Z945" s="1435"/>
      <c r="AA945" s="1653"/>
      <c r="AB945" s="1514"/>
      <c r="AC945" s="1514"/>
      <c r="AD945" s="1514"/>
      <c r="AE945" s="1514"/>
      <c r="AF945" s="1654"/>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41" t="s">
        <v>2759</v>
      </c>
      <c r="J946" s="1642"/>
      <c r="K946" s="1642"/>
      <c r="L946" s="1642"/>
      <c r="M946" s="1642"/>
      <c r="N946" s="1642"/>
      <c r="O946" s="1642"/>
      <c r="P946" s="1642"/>
      <c r="Q946" s="1642"/>
      <c r="R946" s="1642"/>
      <c r="S946" s="1642"/>
      <c r="T946" s="1643"/>
      <c r="U946" s="1652" t="s">
        <v>554</v>
      </c>
      <c r="V946" s="1434"/>
      <c r="W946" s="1434"/>
      <c r="X946" s="1434"/>
      <c r="Y946" s="1434"/>
      <c r="Z946" s="1435"/>
      <c r="AA946" s="1653">
        <v>6811172</v>
      </c>
      <c r="AB946" s="1514"/>
      <c r="AC946" s="1514"/>
      <c r="AD946" s="1514"/>
      <c r="AE946" s="1514"/>
      <c r="AF946" s="1654"/>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71" t="s">
        <v>335</v>
      </c>
      <c r="J947" s="1672"/>
      <c r="K947" s="1672"/>
      <c r="L947" s="1672"/>
      <c r="M947" s="1672"/>
      <c r="N947" s="1672"/>
      <c r="O947" s="1672"/>
      <c r="P947" s="1672"/>
      <c r="Q947" s="1672"/>
      <c r="R947" s="1672"/>
      <c r="S947" s="1672"/>
      <c r="T947" s="1673"/>
      <c r="U947" s="1652" t="s">
        <v>600</v>
      </c>
      <c r="V947" s="1434"/>
      <c r="W947" s="1434"/>
      <c r="X947" s="1434"/>
      <c r="Y947" s="1434"/>
      <c r="Z947" s="1435"/>
      <c r="AA947" s="1653"/>
      <c r="AB947" s="1514"/>
      <c r="AC947" s="1514"/>
      <c r="AD947" s="1514"/>
      <c r="AE947" s="1514"/>
      <c r="AF947" s="1654"/>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671" t="s">
        <v>335</v>
      </c>
      <c r="J948" s="1672"/>
      <c r="K948" s="1672"/>
      <c r="L948" s="1672"/>
      <c r="M948" s="1672"/>
      <c r="N948" s="1672"/>
      <c r="O948" s="1672"/>
      <c r="P948" s="1672"/>
      <c r="Q948" s="1672"/>
      <c r="R948" s="1672"/>
      <c r="S948" s="1672"/>
      <c r="T948" s="1673"/>
      <c r="U948" s="1652" t="s">
        <v>600</v>
      </c>
      <c r="V948" s="1434"/>
      <c r="W948" s="1434"/>
      <c r="X948" s="1434"/>
      <c r="Y948" s="1434"/>
      <c r="Z948" s="1435"/>
      <c r="AA948" s="1653"/>
      <c r="AB948" s="1514"/>
      <c r="AC948" s="1514"/>
      <c r="AD948" s="1514"/>
      <c r="AE948" s="1514"/>
      <c r="AF948" s="1654"/>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671" t="s">
        <v>335</v>
      </c>
      <c r="J949" s="1672"/>
      <c r="K949" s="1672"/>
      <c r="L949" s="1672"/>
      <c r="M949" s="1672"/>
      <c r="N949" s="1672"/>
      <c r="O949" s="1672"/>
      <c r="P949" s="1672"/>
      <c r="Q949" s="1672"/>
      <c r="R949" s="1672"/>
      <c r="S949" s="1672"/>
      <c r="T949" s="1673"/>
      <c r="U949" s="1652" t="s">
        <v>600</v>
      </c>
      <c r="V949" s="1434"/>
      <c r="W949" s="1434"/>
      <c r="X949" s="1434"/>
      <c r="Y949" s="1434"/>
      <c r="Z949" s="1435"/>
      <c r="AA949" s="1653"/>
      <c r="AB949" s="1514"/>
      <c r="AC949" s="1514"/>
      <c r="AD949" s="1514"/>
      <c r="AE949" s="1514"/>
      <c r="AF949" s="1654"/>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74">
        <v>45274</v>
      </c>
      <c r="N954" s="1675"/>
      <c r="O954" s="1675"/>
      <c r="P954" s="1675"/>
      <c r="Q954" s="1675"/>
      <c r="R954" s="1675"/>
      <c r="S954" s="1676"/>
      <c r="U954" s="66" t="s">
        <v>11</v>
      </c>
      <c r="V954" s="5"/>
      <c r="W954" s="5"/>
      <c r="X954" s="5"/>
      <c r="Y954" s="5"/>
      <c r="Z954" s="5"/>
      <c r="AA954" s="5"/>
      <c r="AB954" s="5"/>
      <c r="AC954" s="5"/>
      <c r="AD954" s="46"/>
      <c r="AE954" s="1674"/>
      <c r="AF954" s="1675"/>
      <c r="AG954" s="1675"/>
      <c r="AH954" s="1675"/>
      <c r="AI954" s="1675"/>
      <c r="AJ954" s="1675"/>
      <c r="AK954" s="1676"/>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737" t="s">
        <v>2760</v>
      </c>
      <c r="N955" s="1403"/>
      <c r="O955" s="1403"/>
      <c r="P955" s="1403"/>
      <c r="Q955" s="1403"/>
      <c r="R955" s="1403"/>
      <c r="S955" s="1738"/>
      <c r="U955" s="66" t="s">
        <v>12</v>
      </c>
      <c r="V955" s="5"/>
      <c r="W955" s="5"/>
      <c r="X955" s="5"/>
      <c r="Y955" s="5"/>
      <c r="Z955" s="5"/>
      <c r="AA955" s="5"/>
      <c r="AB955" s="5"/>
      <c r="AC955" s="5"/>
      <c r="AD955" s="46"/>
      <c r="AE955" s="1737"/>
      <c r="AF955" s="1403"/>
      <c r="AG955" s="1403"/>
      <c r="AH955" s="1403"/>
      <c r="AI955" s="1403"/>
      <c r="AJ955" s="1403"/>
      <c r="AK955" s="1738"/>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893</v>
      </c>
      <c r="D956" s="5"/>
      <c r="E956" s="5"/>
      <c r="J956" s="1684" t="s">
        <v>2761</v>
      </c>
      <c r="K956" s="1685"/>
      <c r="L956" s="1685"/>
      <c r="M956" s="1685"/>
      <c r="N956" s="1685"/>
      <c r="O956" s="1685"/>
      <c r="P956" s="1685"/>
      <c r="Q956" s="1685"/>
      <c r="R956" s="1685"/>
      <c r="S956" s="1686"/>
      <c r="U956" s="66" t="s">
        <v>893</v>
      </c>
      <c r="V956" s="5"/>
      <c r="W956" s="5"/>
      <c r="AB956" s="1684" t="s">
        <v>308</v>
      </c>
      <c r="AC956" s="1685"/>
      <c r="AD956" s="1685"/>
      <c r="AE956" s="1685"/>
      <c r="AF956" s="1685"/>
      <c r="AG956" s="1685"/>
      <c r="AH956" s="1685"/>
      <c r="AI956" s="1685"/>
      <c r="AJ956" s="1685"/>
      <c r="AK956" s="1686"/>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23">
        <v>0.25</v>
      </c>
      <c r="N957" s="1724"/>
      <c r="O957" s="1724"/>
      <c r="P957" s="1724"/>
      <c r="Q957" s="1724"/>
      <c r="R957" s="1724"/>
      <c r="S957" s="1725"/>
      <c r="U957" s="66" t="s">
        <v>13</v>
      </c>
      <c r="V957" s="5"/>
      <c r="W957" s="5"/>
      <c r="X957" s="5"/>
      <c r="Y957" s="5"/>
      <c r="Z957" s="5"/>
      <c r="AA957" s="5"/>
      <c r="AB957" s="5"/>
      <c r="AC957" s="5"/>
      <c r="AD957" s="46"/>
      <c r="AE957" s="1736"/>
      <c r="AF957" s="1724"/>
      <c r="AG957" s="1724"/>
      <c r="AH957" s="1724"/>
      <c r="AI957" s="1724"/>
      <c r="AJ957" s="1724"/>
      <c r="AK957" s="1725"/>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727">
        <v>37</v>
      </c>
      <c r="N958" s="1636"/>
      <c r="O958" s="1636"/>
      <c r="P958" s="1636"/>
      <c r="Q958" s="1636"/>
      <c r="R958" s="1636"/>
      <c r="S958" s="1637"/>
      <c r="U958" s="66" t="s">
        <v>14</v>
      </c>
      <c r="V958" s="5"/>
      <c r="W958" s="5"/>
      <c r="X958" s="5"/>
      <c r="Y958" s="5"/>
      <c r="Z958" s="5"/>
      <c r="AA958" s="5"/>
      <c r="AB958" s="5"/>
      <c r="AC958" s="5"/>
      <c r="AD958" s="46"/>
      <c r="AE958" s="1727"/>
      <c r="AF958" s="1636"/>
      <c r="AG958" s="1636"/>
      <c r="AH958" s="1636"/>
      <c r="AI958" s="1636"/>
      <c r="AJ958" s="1636"/>
      <c r="AK958" s="1637"/>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53">
        <v>725124</v>
      </c>
      <c r="N959" s="1514"/>
      <c r="O959" s="1514"/>
      <c r="P959" s="1514"/>
      <c r="Q959" s="1514"/>
      <c r="R959" s="1514"/>
      <c r="S959" s="1654"/>
      <c r="U959" s="66" t="s">
        <v>15</v>
      </c>
      <c r="V959" s="5"/>
      <c r="W959" s="5"/>
      <c r="X959" s="5"/>
      <c r="Y959" s="5"/>
      <c r="Z959" s="5"/>
      <c r="AA959" s="5"/>
      <c r="AB959" s="5"/>
      <c r="AC959" s="5"/>
      <c r="AD959" s="46"/>
      <c r="AE959" s="1653"/>
      <c r="AF959" s="1514"/>
      <c r="AG959" s="1514"/>
      <c r="AH959" s="1514"/>
      <c r="AI959" s="1514"/>
      <c r="AJ959" s="1514"/>
      <c r="AK959" s="1654"/>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53">
        <v>14502480</v>
      </c>
      <c r="N960" s="1514"/>
      <c r="O960" s="1514"/>
      <c r="P960" s="1514"/>
      <c r="Q960" s="1514"/>
      <c r="R960" s="1514"/>
      <c r="S960" s="1654"/>
      <c r="U960" s="66" t="s">
        <v>16</v>
      </c>
      <c r="V960" s="5"/>
      <c r="W960" s="5"/>
      <c r="X960" s="5"/>
      <c r="Y960" s="5"/>
      <c r="Z960" s="5"/>
      <c r="AA960" s="5"/>
      <c r="AB960" s="5"/>
      <c r="AC960" s="5"/>
      <c r="AD960" s="46"/>
      <c r="AE960" s="1653"/>
      <c r="AF960" s="1514"/>
      <c r="AG960" s="1514"/>
      <c r="AH960" s="1514"/>
      <c r="AI960" s="1514"/>
      <c r="AJ960" s="1514"/>
      <c r="AK960" s="1654"/>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1775</v>
      </c>
      <c r="D961" s="5"/>
      <c r="E961" s="5"/>
      <c r="F961" s="5"/>
      <c r="G961" s="5"/>
      <c r="H961" s="5"/>
      <c r="I961" s="5"/>
      <c r="J961" s="5"/>
      <c r="K961" s="5"/>
      <c r="L961" s="46"/>
      <c r="M961" s="1733">
        <v>20</v>
      </c>
      <c r="N961" s="1734"/>
      <c r="O961" s="1734"/>
      <c r="P961" s="1734"/>
      <c r="Q961" s="1734"/>
      <c r="R961" s="1734"/>
      <c r="S961" s="1735"/>
      <c r="U961" s="121" t="s">
        <v>1775</v>
      </c>
      <c r="V961" s="5"/>
      <c r="W961" s="5"/>
      <c r="X961" s="5"/>
      <c r="Y961" s="5"/>
      <c r="Z961" s="5"/>
      <c r="AA961" s="5"/>
      <c r="AB961" s="5"/>
      <c r="AC961" s="5"/>
      <c r="AD961" s="46"/>
      <c r="AE961" s="1733"/>
      <c r="AF961" s="1734"/>
      <c r="AG961" s="1734"/>
      <c r="AH961" s="1734"/>
      <c r="AI961" s="1734"/>
      <c r="AJ961" s="1734"/>
      <c r="AK961" s="1735"/>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580</v>
      </c>
      <c r="G966" s="5"/>
      <c r="H966" s="5"/>
      <c r="I966" s="5"/>
      <c r="J966" s="5"/>
      <c r="K966" s="5"/>
      <c r="L966" s="46"/>
      <c r="M966" s="1677"/>
      <c r="N966" s="1678"/>
      <c r="O966" s="1678"/>
      <c r="P966" s="1678"/>
      <c r="Q966" s="1678"/>
      <c r="R966" s="1678"/>
      <c r="S966" s="1679"/>
      <c r="T966" s="66" t="s">
        <v>800</v>
      </c>
      <c r="U966" s="5"/>
      <c r="V966" s="5"/>
      <c r="W966" s="5"/>
      <c r="X966" s="5"/>
      <c r="Y966" s="5"/>
      <c r="Z966" s="46"/>
      <c r="AA966" s="1677"/>
      <c r="AB966" s="1678"/>
      <c r="AC966" s="1678"/>
      <c r="AD966" s="1678"/>
      <c r="AE966" s="1678"/>
      <c r="AF966" s="1678"/>
      <c r="AG966" s="1679"/>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581</v>
      </c>
      <c r="G967" s="5"/>
      <c r="H967" s="5"/>
      <c r="I967" s="5"/>
      <c r="J967" s="5"/>
      <c r="K967" s="5"/>
      <c r="L967" s="46"/>
      <c r="M967" s="1677"/>
      <c r="N967" s="1678"/>
      <c r="O967" s="1678"/>
      <c r="P967" s="1678"/>
      <c r="Q967" s="1678"/>
      <c r="R967" s="1678"/>
      <c r="S967" s="1679"/>
      <c r="T967" s="66" t="s">
        <v>799</v>
      </c>
      <c r="U967" s="5"/>
      <c r="V967" s="5"/>
      <c r="W967" s="5"/>
      <c r="X967" s="5"/>
      <c r="Y967" s="5"/>
      <c r="Z967" s="46"/>
      <c r="AA967" s="1677"/>
      <c r="AB967" s="1678"/>
      <c r="AC967" s="1678"/>
      <c r="AD967" s="1678"/>
      <c r="AE967" s="1678"/>
      <c r="AF967" s="1678"/>
      <c r="AG967" s="1679"/>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917</v>
      </c>
      <c r="G968" s="5"/>
      <c r="H968" s="5"/>
      <c r="I968" s="5"/>
      <c r="J968" s="5"/>
      <c r="K968" s="5"/>
      <c r="L968" s="46"/>
      <c r="M968" s="1680" t="s">
        <v>600</v>
      </c>
      <c r="N968" s="1681"/>
      <c r="O968" s="1681"/>
      <c r="P968" s="1681"/>
      <c r="Q968" s="1681"/>
      <c r="R968" s="1681"/>
      <c r="S968" s="1682"/>
      <c r="T968" s="45" t="s">
        <v>338</v>
      </c>
      <c r="U968" s="5"/>
      <c r="V968" s="5"/>
      <c r="W968" s="5"/>
      <c r="X968" s="5"/>
      <c r="Y968" s="5"/>
      <c r="Z968" s="46"/>
      <c r="AA968" s="1677"/>
      <c r="AB968" s="1678"/>
      <c r="AC968" s="1678"/>
      <c r="AD968" s="1678"/>
      <c r="AE968" s="1678"/>
      <c r="AF968" s="1678"/>
      <c r="AG968" s="1679"/>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582</v>
      </c>
      <c r="G969" s="5"/>
      <c r="H969" s="5"/>
      <c r="I969" s="5"/>
      <c r="J969" s="5"/>
      <c r="K969" s="5"/>
      <c r="L969" s="46"/>
      <c r="M969" s="1677"/>
      <c r="N969" s="1678"/>
      <c r="O969" s="1678"/>
      <c r="P969" s="1678"/>
      <c r="Q969" s="1678"/>
      <c r="R969" s="1678"/>
      <c r="S969" s="1679"/>
      <c r="T969" s="45" t="s">
        <v>339</v>
      </c>
      <c r="U969" s="5"/>
      <c r="V969" s="5"/>
      <c r="W969" s="5"/>
      <c r="X969" s="5"/>
      <c r="Y969" s="5"/>
      <c r="Z969" s="46"/>
      <c r="AA969" s="1677"/>
      <c r="AB969" s="1678"/>
      <c r="AC969" s="1678"/>
      <c r="AD969" s="1678"/>
      <c r="AE969" s="1678"/>
      <c r="AF969" s="1678"/>
      <c r="AG969" s="1679"/>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473</v>
      </c>
      <c r="G970" s="5"/>
      <c r="H970" s="5"/>
      <c r="I970" s="5"/>
      <c r="J970" s="5"/>
      <c r="K970" s="5"/>
      <c r="L970" s="46"/>
      <c r="M970" s="1677"/>
      <c r="N970" s="1678"/>
      <c r="O970" s="1678"/>
      <c r="P970" s="1678"/>
      <c r="Q970" s="1678"/>
      <c r="R970" s="1678"/>
      <c r="S970" s="1679"/>
      <c r="T970" s="45" t="s">
        <v>377</v>
      </c>
      <c r="U970" s="5"/>
      <c r="V970" s="5"/>
      <c r="W970" s="5"/>
      <c r="X970" s="5"/>
      <c r="Y970" s="5"/>
      <c r="Z970" s="46"/>
      <c r="AA970" s="1677"/>
      <c r="AB970" s="1678"/>
      <c r="AC970" s="1678"/>
      <c r="AD970" s="1678"/>
      <c r="AE970" s="1678"/>
      <c r="AF970" s="1678"/>
      <c r="AG970" s="1679"/>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893</v>
      </c>
      <c r="G971" s="42"/>
      <c r="H971" s="42"/>
      <c r="I971" s="42"/>
      <c r="J971" s="42"/>
      <c r="K971" s="42"/>
      <c r="L971" s="58"/>
      <c r="M971" s="1684" t="s">
        <v>308</v>
      </c>
      <c r="N971" s="1685"/>
      <c r="O971" s="1685"/>
      <c r="P971" s="1685"/>
      <c r="Q971" s="1685"/>
      <c r="R971" s="1685"/>
      <c r="S971" s="1686"/>
      <c r="T971" s="1720"/>
      <c r="U971" s="1721"/>
      <c r="V971" s="1721"/>
      <c r="W971" s="1721"/>
      <c r="X971" s="1721"/>
      <c r="Y971" s="1721"/>
      <c r="Z971" s="1722"/>
      <c r="AA971" s="1677"/>
      <c r="AB971" s="1678"/>
      <c r="AC971" s="1678"/>
      <c r="AD971" s="1678"/>
      <c r="AE971" s="1678"/>
      <c r="AF971" s="1678"/>
      <c r="AG971" s="1679"/>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474</v>
      </c>
      <c r="G972" s="42"/>
      <c r="H972" s="42"/>
      <c r="I972" s="42"/>
      <c r="J972" s="42"/>
      <c r="K972" s="42"/>
      <c r="L972" s="58"/>
      <c r="M972" s="1677"/>
      <c r="N972" s="1678"/>
      <c r="O972" s="1678"/>
      <c r="P972" s="1678"/>
      <c r="Q972" s="1678"/>
      <c r="R972" s="1678"/>
      <c r="S972" s="1679"/>
      <c r="T972" s="1720"/>
      <c r="U972" s="1721"/>
      <c r="V972" s="1721"/>
      <c r="W972" s="1721"/>
      <c r="X972" s="1721"/>
      <c r="Y972" s="1721"/>
      <c r="Z972" s="1722"/>
      <c r="AA972" s="1677"/>
      <c r="AB972" s="1678"/>
      <c r="AC972" s="1678"/>
      <c r="AD972" s="1678"/>
      <c r="AE972" s="1678"/>
      <c r="AF972" s="1678"/>
      <c r="AG972" s="1679"/>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463" t="s">
        <v>678</v>
      </c>
      <c r="P973" s="1464"/>
      <c r="Q973" s="92"/>
      <c r="R973" s="92"/>
      <c r="S973" s="93"/>
      <c r="T973" s="41" t="s">
        <v>170</v>
      </c>
      <c r="U973" s="42"/>
      <c r="V973" s="42"/>
      <c r="W973" s="1728" t="s">
        <v>335</v>
      </c>
      <c r="X973" s="1729"/>
      <c r="Y973" s="1729"/>
      <c r="Z973" s="1729"/>
      <c r="AA973" s="1729"/>
      <c r="AB973" s="1729"/>
      <c r="AC973" s="1729"/>
      <c r="AD973" s="1729"/>
      <c r="AE973" s="1729"/>
      <c r="AF973" s="1729"/>
      <c r="AG973" s="1730"/>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628" t="s">
        <v>33</v>
      </c>
      <c r="G974" s="1536"/>
      <c r="H974" s="1536"/>
      <c r="I974" s="1536"/>
      <c r="J974" s="1536"/>
      <c r="K974" s="1536"/>
      <c r="L974" s="1536"/>
      <c r="M974" s="1677"/>
      <c r="N974" s="1678"/>
      <c r="O974" s="1678"/>
      <c r="P974" s="1678"/>
      <c r="Q974" s="1678"/>
      <c r="R974" s="1678"/>
      <c r="S974" s="1679"/>
      <c r="T974" s="47"/>
      <c r="U974" s="48"/>
      <c r="V974" s="48"/>
      <c r="W974" s="48"/>
      <c r="X974" s="48"/>
      <c r="Y974" s="48"/>
      <c r="Z974" s="124" t="s">
        <v>134</v>
      </c>
      <c r="AA974" s="1790"/>
      <c r="AB974" s="1791"/>
      <c r="AC974" s="1791"/>
      <c r="AD974" s="1791"/>
      <c r="AE974" s="1791"/>
      <c r="AF974" s="1791"/>
      <c r="AG974" s="1792"/>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58"/>
      <c r="BH975" s="1658"/>
      <c r="BI975" s="1658"/>
      <c r="BJ975" s="1658"/>
      <c r="BK975" s="1658"/>
      <c r="BL975" s="1658"/>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73" t="s">
        <v>557</v>
      </c>
      <c r="B978" s="1573"/>
      <c r="C978" s="1573"/>
      <c r="D978" s="1573"/>
      <c r="E978" s="1573"/>
      <c r="F978" s="1573"/>
      <c r="G978" s="1573"/>
      <c r="H978" s="1573"/>
      <c r="I978" s="1573"/>
      <c r="J978" s="1573"/>
      <c r="K978" s="1573"/>
      <c r="L978" s="1573"/>
      <c r="M978" s="1573"/>
      <c r="N978" s="1573"/>
      <c r="O978" s="1573"/>
      <c r="P978" s="1573"/>
      <c r="Q978" s="1573"/>
      <c r="R978" s="1573"/>
      <c r="S978" s="1573"/>
      <c r="T978" s="1573"/>
      <c r="U978" s="1573"/>
      <c r="V978" s="1573"/>
      <c r="W978" s="1573"/>
      <c r="X978" s="1573"/>
      <c r="Y978" s="1573"/>
      <c r="Z978" s="1573"/>
      <c r="AA978" s="1573"/>
      <c r="AB978" s="1573"/>
      <c r="AC978" s="1573"/>
      <c r="AD978" s="1573"/>
      <c r="AE978" s="1573"/>
      <c r="AF978" s="1573"/>
      <c r="AG978" s="1573"/>
      <c r="AH978" s="1573"/>
      <c r="AI978" s="1573"/>
      <c r="AJ978" s="1573"/>
      <c r="AK978" s="1573"/>
      <c r="AL978" s="1573"/>
      <c r="AM978" s="1573"/>
      <c r="AN978" s="1573"/>
      <c r="AO978" s="1573"/>
      <c r="AP978" s="1573"/>
      <c r="AQ978" s="1573"/>
      <c r="AR978" s="1573"/>
      <c r="AS978" s="1573"/>
      <c r="AT978" s="1573"/>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73"/>
      <c r="B979" s="1573"/>
      <c r="C979" s="1573"/>
      <c r="D979" s="1573"/>
      <c r="E979" s="1573"/>
      <c r="F979" s="1573"/>
      <c r="G979" s="1573"/>
      <c r="H979" s="1573"/>
      <c r="I979" s="1573"/>
      <c r="J979" s="1573"/>
      <c r="K979" s="1573"/>
      <c r="L979" s="1573"/>
      <c r="M979" s="1573"/>
      <c r="N979" s="1573"/>
      <c r="O979" s="1573"/>
      <c r="P979" s="1573"/>
      <c r="Q979" s="1573"/>
      <c r="R979" s="1573"/>
      <c r="S979" s="1573"/>
      <c r="T979" s="1573"/>
      <c r="U979" s="1573"/>
      <c r="V979" s="1573"/>
      <c r="W979" s="1573"/>
      <c r="X979" s="1573"/>
      <c r="Y979" s="1573"/>
      <c r="Z979" s="1573"/>
      <c r="AA979" s="1573"/>
      <c r="AB979" s="1573"/>
      <c r="AC979" s="1573"/>
      <c r="AD979" s="1573"/>
      <c r="AE979" s="1573"/>
      <c r="AF979" s="1573"/>
      <c r="AG979" s="1573"/>
      <c r="AH979" s="1573"/>
      <c r="AI979" s="1573"/>
      <c r="AJ979" s="1573"/>
      <c r="AK979" s="1573"/>
      <c r="AL979" s="1573"/>
      <c r="AM979" s="1573"/>
      <c r="AN979" s="1573"/>
      <c r="AO979" s="1573"/>
      <c r="AP979" s="1573"/>
      <c r="AQ979" s="1573"/>
      <c r="AR979" s="1573"/>
      <c r="AS979" s="1573"/>
      <c r="AT979" s="1573"/>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73"/>
      <c r="B980" s="1573"/>
      <c r="C980" s="1573"/>
      <c r="D980" s="1573"/>
      <c r="E980" s="1573"/>
      <c r="F980" s="1573"/>
      <c r="G980" s="1573"/>
      <c r="H980" s="1573"/>
      <c r="I980" s="1573"/>
      <c r="J980" s="1573"/>
      <c r="K980" s="1573"/>
      <c r="L980" s="1573"/>
      <c r="M980" s="1573"/>
      <c r="N980" s="1573"/>
      <c r="O980" s="1573"/>
      <c r="P980" s="1573"/>
      <c r="Q980" s="1573"/>
      <c r="R980" s="1573"/>
      <c r="S980" s="1573"/>
      <c r="T980" s="1573"/>
      <c r="U980" s="1573"/>
      <c r="V980" s="1573"/>
      <c r="W980" s="1573"/>
      <c r="X980" s="1573"/>
      <c r="Y980" s="1573"/>
      <c r="Z980" s="1573"/>
      <c r="AA980" s="1573"/>
      <c r="AB980" s="1573"/>
      <c r="AC980" s="1573"/>
      <c r="AD980" s="1573"/>
      <c r="AE980" s="1573"/>
      <c r="AF980" s="1573"/>
      <c r="AG980" s="1573"/>
      <c r="AH980" s="1573"/>
      <c r="AI980" s="1573"/>
      <c r="AJ980" s="1573"/>
      <c r="AK980" s="1573"/>
      <c r="AL980" s="1573"/>
      <c r="AM980" s="1573"/>
      <c r="AN980" s="1573"/>
      <c r="AO980" s="1573"/>
      <c r="AP980" s="1573"/>
      <c r="AQ980" s="1573"/>
      <c r="AR980" s="1573"/>
      <c r="AS980" s="1573"/>
      <c r="AT980" s="1573"/>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795" t="s">
        <v>647</v>
      </c>
      <c r="E984" s="1796"/>
      <c r="F984" s="1796"/>
      <c r="G984" s="1796"/>
      <c r="H984" s="1796"/>
      <c r="I984" s="1796"/>
      <c r="J984" s="1796"/>
      <c r="K984" s="1796"/>
      <c r="L984" s="1796"/>
      <c r="M984" s="1796"/>
      <c r="N984" s="1796"/>
      <c r="O984" s="1796"/>
      <c r="P984" s="1796"/>
      <c r="Q984" s="1797"/>
      <c r="R984" s="1795" t="s">
        <v>648</v>
      </c>
      <c r="S984" s="1796"/>
      <c r="T984" s="1796"/>
      <c r="U984" s="1796"/>
      <c r="V984" s="1796"/>
      <c r="W984" s="1796"/>
      <c r="X984" s="1796"/>
      <c r="Y984" s="1796"/>
      <c r="Z984" s="1796"/>
      <c r="AA984" s="1797"/>
      <c r="AB984" s="1795" t="s">
        <v>649</v>
      </c>
      <c r="AC984" s="1796"/>
      <c r="AD984" s="1796"/>
      <c r="AE984" s="1796"/>
      <c r="AF984" s="1796"/>
      <c r="AG984" s="1796"/>
      <c r="AH984" s="1796"/>
      <c r="AI984" s="1797"/>
      <c r="AJ984" s="1795" t="s">
        <v>650</v>
      </c>
      <c r="AK984" s="1796"/>
      <c r="AL984" s="1796"/>
      <c r="AM984" s="1796"/>
      <c r="AN984" s="1796"/>
      <c r="AO984" s="1796"/>
      <c r="AP984" s="1796"/>
      <c r="AQ984" s="1797"/>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41" t="s">
        <v>642</v>
      </c>
      <c r="E985" s="1542"/>
      <c r="F985" s="1542"/>
      <c r="G985" s="1542"/>
      <c r="H985" s="1542"/>
      <c r="I985" s="1542"/>
      <c r="J985" s="1542"/>
      <c r="K985" s="1542"/>
      <c r="L985" s="1542"/>
      <c r="M985" s="1542"/>
      <c r="N985" s="1542"/>
      <c r="O985" s="1542"/>
      <c r="P985" s="1542"/>
      <c r="Q985" s="1543"/>
      <c r="R985" s="1726">
        <f>IF(ISNA(IF($BN$796="4%",(INDEX($BP$806:$BT$863,MATCH($CB$796,$BO$806:$BO$863,0),MATCH(D985,$BP$805:$BT$805,0))),(INDEX($BW$806:$CA$863,MATCH($CB$796,$BV$806:$BV$863,0),MATCH(D985,$BW$805:$CA$805,0))))),0,IF($BN$796="4%",(INDEX($BP$806:$BT$863,MATCH($CB$796,$BO$806:$BO$863,0),MATCH(D985,$BP$805:$BT$805,0))),(INDEX($BW$806:$CA$863,MATCH($CB$796,$BV$806:$BV$863,0),MATCH(D985,$BW$805:$CA$805,0)))))</f>
        <v>353173</v>
      </c>
      <c r="S985" s="1726"/>
      <c r="T985" s="1726"/>
      <c r="U985" s="1726"/>
      <c r="V985" s="1726"/>
      <c r="W985" s="1726"/>
      <c r="X985" s="1726"/>
      <c r="Y985" s="1726"/>
      <c r="Z985" s="1726"/>
      <c r="AA985" s="1726"/>
      <c r="AB985" s="1798">
        <f>BN660</f>
        <v>24</v>
      </c>
      <c r="AC985" s="1799"/>
      <c r="AD985" s="1799"/>
      <c r="AE985" s="1799"/>
      <c r="AF985" s="1799"/>
      <c r="AG985" s="1799"/>
      <c r="AH985" s="1799"/>
      <c r="AI985" s="1800"/>
      <c r="AJ985" s="1749">
        <f>IF(ISERROR((R985*AB985)),0,(R985*AB985))</f>
        <v>8476152</v>
      </c>
      <c r="AK985" s="1750"/>
      <c r="AL985" s="1750"/>
      <c r="AM985" s="1750"/>
      <c r="AN985" s="1750"/>
      <c r="AO985" s="1750"/>
      <c r="AP985" s="1750"/>
      <c r="AQ985" s="1751"/>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41" t="s">
        <v>326</v>
      </c>
      <c r="E986" s="1542"/>
      <c r="F986" s="1542"/>
      <c r="G986" s="1542"/>
      <c r="H986" s="1542"/>
      <c r="I986" s="1542"/>
      <c r="J986" s="1542"/>
      <c r="K986" s="1542"/>
      <c r="L986" s="1542"/>
      <c r="M986" s="1542"/>
      <c r="N986" s="1542"/>
      <c r="O986" s="1542"/>
      <c r="P986" s="1542"/>
      <c r="Q986" s="1543"/>
      <c r="R986" s="1726">
        <f>IF(ISNA(IF($BN$796="4%",(INDEX($BP$806:$BT$863,MATCH($CB$796,$BO$806:$BO$863,0),MATCH(D986,$BP$805:$BT$805,0))),(INDEX($BW$806:$CA$863,MATCH($CB$796,$BV$806:$BV$863,0),MATCH(D986,$BW$805:$CA$805,0))))),0,IF($BN$796="4%",(INDEX($BP$806:$BT$863,MATCH($CB$796,$BO$806:$BO$863,0),MATCH(D986,$BP$805:$BT$805,0))),(INDEX($BW$806:$CA$863,MATCH($CB$796,$BV$806:$BV$863,0),MATCH(D986,$BW$805:$CA$805,0)))))</f>
        <v>407205</v>
      </c>
      <c r="S986" s="1726"/>
      <c r="T986" s="1726"/>
      <c r="U986" s="1726"/>
      <c r="V986" s="1726"/>
      <c r="W986" s="1726"/>
      <c r="X986" s="1726"/>
      <c r="Y986" s="1726"/>
      <c r="Z986" s="1726"/>
      <c r="AA986" s="1726"/>
      <c r="AB986" s="1798">
        <f>BS660</f>
        <v>38</v>
      </c>
      <c r="AC986" s="1799"/>
      <c r="AD986" s="1799"/>
      <c r="AE986" s="1799"/>
      <c r="AF986" s="1799"/>
      <c r="AG986" s="1799"/>
      <c r="AH986" s="1799"/>
      <c r="AI986" s="1800"/>
      <c r="AJ986" s="1749">
        <f>IF(ISERROR((R986*AB986)),0,(R986*AB986))</f>
        <v>15473790</v>
      </c>
      <c r="AK986" s="1750"/>
      <c r="AL986" s="1750"/>
      <c r="AM986" s="1750"/>
      <c r="AN986" s="1750"/>
      <c r="AO986" s="1750"/>
      <c r="AP986" s="1750"/>
      <c r="AQ986" s="1751"/>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41" t="s">
        <v>163</v>
      </c>
      <c r="E987" s="1542"/>
      <c r="F987" s="1542"/>
      <c r="G987" s="1542"/>
      <c r="H987" s="1542"/>
      <c r="I987" s="1542"/>
      <c r="J987" s="1542"/>
      <c r="K987" s="1542"/>
      <c r="L987" s="1542"/>
      <c r="M987" s="1542"/>
      <c r="N987" s="1542"/>
      <c r="O987" s="1542"/>
      <c r="P987" s="1542"/>
      <c r="Q987" s="1543"/>
      <c r="R987" s="1726">
        <f>IF(ISNA(IF($BN$796="4%",(INDEX($BP$806:$BT$863,MATCH($CB$796,$BO$806:$BO$863,0),MATCH(D987,$BP$805:$BT$805,0))),(INDEX($BW$806:$CA$863,MATCH($CB$796,$BV$806:$BV$863,0),MATCH(D987,$BW$805:$CA$805,0))))),0,IF($BN$796="4%",(INDEX($BP$806:$BT$863,MATCH($CB$796,$BO$806:$BO$863,0),MATCH(D987,$BP$805:$BT$805,0))),(INDEX($BW$806:$CA$863,MATCH($CB$796,$BV$806:$BV$863,0),MATCH(D987,$BW$805:$CA$805,0)))))</f>
        <v>491200</v>
      </c>
      <c r="S987" s="1726"/>
      <c r="T987" s="1726"/>
      <c r="U987" s="1726"/>
      <c r="V987" s="1726"/>
      <c r="W987" s="1726"/>
      <c r="X987" s="1726"/>
      <c r="Y987" s="1726"/>
      <c r="Z987" s="1726"/>
      <c r="AA987" s="1726"/>
      <c r="AB987" s="1798">
        <f>BX660</f>
        <v>43</v>
      </c>
      <c r="AC987" s="1799"/>
      <c r="AD987" s="1799"/>
      <c r="AE987" s="1799"/>
      <c r="AF987" s="1799"/>
      <c r="AG987" s="1799"/>
      <c r="AH987" s="1799"/>
      <c r="AI987" s="1800"/>
      <c r="AJ987" s="1749">
        <f>IF(ISERROR((R987*AB987)),0,(R987*AB987))</f>
        <v>21121600</v>
      </c>
      <c r="AK987" s="1750"/>
      <c r="AL987" s="1750"/>
      <c r="AM987" s="1750"/>
      <c r="AN987" s="1750"/>
      <c r="AO987" s="1750"/>
      <c r="AP987" s="1750"/>
      <c r="AQ987" s="1751"/>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41" t="s">
        <v>164</v>
      </c>
      <c r="E988" s="1542"/>
      <c r="F988" s="1542"/>
      <c r="G988" s="1542"/>
      <c r="H988" s="1542"/>
      <c r="I988" s="1542"/>
      <c r="J988" s="1542"/>
      <c r="K988" s="1542"/>
      <c r="L988" s="1542"/>
      <c r="M988" s="1542"/>
      <c r="N988" s="1542"/>
      <c r="O988" s="1542"/>
      <c r="P988" s="1542"/>
      <c r="Q988" s="1543"/>
      <c r="R988" s="1726">
        <f>IF(ISNA(IF($BN$796="4%",(INDEX($BP$806:$BT$863,MATCH($CB$796,$BO$806:$BO$863,0),MATCH(D988,$BP$805:$BT$805,0))),(INDEX($BW$806:$CA$863,MATCH($CB$796,$BV$806:$BV$863,0),MATCH(D988,$BW$805:$CA$805,0))))),0,IF($BN$796="4%",(INDEX($BP$806:$BT$863,MATCH($CB$796,$BO$806:$BO$863,0),MATCH(D988,$BP$805:$BT$805,0))),(INDEX($BW$806:$CA$863,MATCH($CB$796,$BV$806:$BV$863,0),MATCH(D988,$BW$805:$CA$805,0)))))</f>
        <v>628736</v>
      </c>
      <c r="S988" s="1726"/>
      <c r="T988" s="1726"/>
      <c r="U988" s="1726"/>
      <c r="V988" s="1726"/>
      <c r="W988" s="1726"/>
      <c r="X988" s="1726"/>
      <c r="Y988" s="1726"/>
      <c r="Z988" s="1726"/>
      <c r="AA988" s="1726"/>
      <c r="AB988" s="1798">
        <f>CC660</f>
        <v>42</v>
      </c>
      <c r="AC988" s="1799"/>
      <c r="AD988" s="1799"/>
      <c r="AE988" s="1799"/>
      <c r="AF988" s="1799"/>
      <c r="AG988" s="1799"/>
      <c r="AH988" s="1799"/>
      <c r="AI988" s="1800"/>
      <c r="AJ988" s="1749">
        <f>IF(ISERROR((R988*AB988)),0,(R988*AB988))</f>
        <v>26406912</v>
      </c>
      <c r="AK988" s="1750"/>
      <c r="AL988" s="1750"/>
      <c r="AM988" s="1750"/>
      <c r="AN988" s="1750"/>
      <c r="AO988" s="1750"/>
      <c r="AP988" s="1750"/>
      <c r="AQ988" s="1751"/>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41" t="s">
        <v>469</v>
      </c>
      <c r="E989" s="1542"/>
      <c r="F989" s="1542"/>
      <c r="G989" s="1542"/>
      <c r="H989" s="1542"/>
      <c r="I989" s="1542"/>
      <c r="J989" s="1542"/>
      <c r="K989" s="1542"/>
      <c r="L989" s="1542"/>
      <c r="M989" s="1542"/>
      <c r="N989" s="1542"/>
      <c r="O989" s="1542"/>
      <c r="P989" s="1542"/>
      <c r="Q989" s="1543"/>
      <c r="R989" s="1726">
        <f>IF(ISNA(IF($BN$796="4%",(INDEX($BP$806:$BT$863,MATCH($CB$796,$BO$806:$BO$863,0),MATCH(D989,$BP$805:$BT$805,0))),(INDEX($BW$806:$CA$863,MATCH($CB$796,$BV$806:$BV$863,0),MATCH(D989,$BW$805:$CA$805,0))))),0,IF($BN$796="4%",(INDEX($BP$806:$BT$863,MATCH($CB$796,$BO$806:$BO$863,0),MATCH(D989,$BP$805:$BT$805,0))),(INDEX($BW$806:$CA$863,MATCH($CB$796,$BV$806:$BV$863,0),MATCH(D989,$BW$805:$CA$805,0)))))</f>
        <v>700451</v>
      </c>
      <c r="S989" s="1726"/>
      <c r="T989" s="1726"/>
      <c r="U989" s="1726"/>
      <c r="V989" s="1726"/>
      <c r="W989" s="1726"/>
      <c r="X989" s="1726"/>
      <c r="Y989" s="1726"/>
      <c r="Z989" s="1726"/>
      <c r="AA989" s="1726"/>
      <c r="AB989" s="1798">
        <f>CM660+CH660</f>
        <v>0</v>
      </c>
      <c r="AC989" s="1799"/>
      <c r="AD989" s="1799"/>
      <c r="AE989" s="1799"/>
      <c r="AF989" s="1799"/>
      <c r="AG989" s="1799"/>
      <c r="AH989" s="1799"/>
      <c r="AI989" s="1800"/>
      <c r="AJ989" s="1749">
        <f>IF(ISERROR((R989*AB989)),0,(R989*AB989))</f>
        <v>0</v>
      </c>
      <c r="AK989" s="1750"/>
      <c r="AL989" s="1750"/>
      <c r="AM989" s="1750"/>
      <c r="AN989" s="1750"/>
      <c r="AO989" s="1750"/>
      <c r="AP989" s="1750"/>
      <c r="AQ989" s="1751"/>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756" t="s">
        <v>801</v>
      </c>
      <c r="C990" s="1757"/>
      <c r="D990" s="1757"/>
      <c r="E990" s="1757"/>
      <c r="F990" s="1757"/>
      <c r="G990" s="1757"/>
      <c r="H990" s="1757"/>
      <c r="I990" s="1757"/>
      <c r="J990" s="1757"/>
      <c r="K990" s="1757"/>
      <c r="L990" s="1757"/>
      <c r="M990" s="1757"/>
      <c r="N990" s="1757"/>
      <c r="O990" s="1757"/>
      <c r="P990" s="1757"/>
      <c r="Q990" s="1757"/>
      <c r="R990" s="1757"/>
      <c r="S990" s="1757"/>
      <c r="T990" s="1757"/>
      <c r="U990" s="1757"/>
      <c r="V990" s="1757"/>
      <c r="W990" s="1757"/>
      <c r="X990" s="1757"/>
      <c r="Y990" s="1757"/>
      <c r="Z990" s="1757"/>
      <c r="AA990" s="1758"/>
      <c r="AB990" s="1798">
        <f>SUM(AB985:AI989)</f>
        <v>147</v>
      </c>
      <c r="AC990" s="1799"/>
      <c r="AD990" s="1799"/>
      <c r="AE990" s="1799"/>
      <c r="AF990" s="1799"/>
      <c r="AG990" s="1799"/>
      <c r="AH990" s="1799"/>
      <c r="AI990" s="1800"/>
      <c r="AJ990" s="1749"/>
      <c r="AK990" s="1750"/>
      <c r="AL990" s="1750"/>
      <c r="AM990" s="1750"/>
      <c r="AN990" s="1750"/>
      <c r="AO990" s="1750"/>
      <c r="AP990" s="1750"/>
      <c r="AQ990" s="1751"/>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36" t="s">
        <v>521</v>
      </c>
      <c r="C991" s="1837"/>
      <c r="D991" s="1837"/>
      <c r="E991" s="1837"/>
      <c r="F991" s="1837"/>
      <c r="G991" s="1837"/>
      <c r="H991" s="1837"/>
      <c r="I991" s="1837"/>
      <c r="J991" s="1837"/>
      <c r="K991" s="1837"/>
      <c r="L991" s="1837"/>
      <c r="M991" s="1837"/>
      <c r="N991" s="1837"/>
      <c r="O991" s="1837"/>
      <c r="P991" s="1837"/>
      <c r="Q991" s="1837"/>
      <c r="R991" s="1837"/>
      <c r="S991" s="1837"/>
      <c r="T991" s="1837"/>
      <c r="U991" s="1837"/>
      <c r="V991" s="1837"/>
      <c r="W991" s="1837"/>
      <c r="X991" s="1837"/>
      <c r="Y991" s="1837"/>
      <c r="Z991" s="1837"/>
      <c r="AA991" s="1837"/>
      <c r="AB991" s="1837"/>
      <c r="AC991" s="1837"/>
      <c r="AD991" s="1837"/>
      <c r="AE991" s="1837"/>
      <c r="AF991" s="1837"/>
      <c r="AG991" s="1837"/>
      <c r="AH991" s="1837"/>
      <c r="AI991" s="1838"/>
      <c r="AJ991" s="1749">
        <f>SUM(AJ985:AQ989)</f>
        <v>71478454</v>
      </c>
      <c r="AK991" s="1750"/>
      <c r="AL991" s="1750"/>
      <c r="AM991" s="1750"/>
      <c r="AN991" s="1750"/>
      <c r="AO991" s="1750"/>
      <c r="AP991" s="1750"/>
      <c r="AQ991" s="1751"/>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827"/>
      <c r="C992" s="1828"/>
      <c r="D992" s="1828"/>
      <c r="E992" s="1828"/>
      <c r="F992" s="1828"/>
      <c r="G992" s="1828"/>
      <c r="H992" s="1828"/>
      <c r="I992" s="1828"/>
      <c r="J992" s="1828"/>
      <c r="K992" s="1828"/>
      <c r="L992" s="1828"/>
      <c r="M992" s="1828"/>
      <c r="N992" s="1828"/>
      <c r="O992" s="1828"/>
      <c r="P992" s="1828"/>
      <c r="Q992" s="1828"/>
      <c r="R992" s="1828"/>
      <c r="S992" s="1828"/>
      <c r="T992" s="1828"/>
      <c r="U992" s="1828"/>
      <c r="V992" s="1828"/>
      <c r="W992" s="1828"/>
      <c r="X992" s="1828"/>
      <c r="Y992" s="1828"/>
      <c r="Z992" s="1828"/>
      <c r="AA992" s="1828"/>
      <c r="AB992" s="1828"/>
      <c r="AC992" s="1828"/>
      <c r="AD992" s="1828"/>
      <c r="AE992" s="1829"/>
      <c r="AF992" s="1842" t="s">
        <v>675</v>
      </c>
      <c r="AG992" s="1843"/>
      <c r="AH992" s="1843"/>
      <c r="AI992" s="1844"/>
      <c r="AJ992" s="1827"/>
      <c r="AK992" s="1828"/>
      <c r="AL992" s="1828"/>
      <c r="AM992" s="1828"/>
      <c r="AN992" s="1828"/>
      <c r="AO992" s="1828"/>
      <c r="AP992" s="1828"/>
      <c r="AQ992" s="1829"/>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677</v>
      </c>
      <c r="D993" s="1759" t="s">
        <v>1327</v>
      </c>
      <c r="E993" s="1760"/>
      <c r="F993" s="1760"/>
      <c r="G993" s="1760"/>
      <c r="H993" s="1760"/>
      <c r="I993" s="1760"/>
      <c r="J993" s="1760"/>
      <c r="K993" s="1760"/>
      <c r="L993" s="1760"/>
      <c r="M993" s="1760"/>
      <c r="N993" s="1760"/>
      <c r="O993" s="1760"/>
      <c r="P993" s="1760"/>
      <c r="Q993" s="1760"/>
      <c r="R993" s="1760"/>
      <c r="S993" s="1760"/>
      <c r="T993" s="1760"/>
      <c r="U993" s="1760"/>
      <c r="V993" s="1760"/>
      <c r="W993" s="1760"/>
      <c r="X993" s="1760"/>
      <c r="Y993" s="1760"/>
      <c r="Z993" s="1760"/>
      <c r="AA993" s="1760"/>
      <c r="AB993" s="1760"/>
      <c r="AC993" s="1760"/>
      <c r="AD993" s="1760"/>
      <c r="AE993" s="1761"/>
      <c r="AF993" s="79"/>
      <c r="AG993" s="1845" t="s">
        <v>554</v>
      </c>
      <c r="AH993" s="1846"/>
      <c r="AI993" s="87"/>
      <c r="AJ993" s="1810">
        <f>ROUND(IF(AND(AG993="yes",D999&gt;0),AJ991*0.2,0),0)</f>
        <v>14295691</v>
      </c>
      <c r="AK993" s="1811"/>
      <c r="AL993" s="1811"/>
      <c r="AM993" s="1811"/>
      <c r="AN993" s="1811"/>
      <c r="AO993" s="1811"/>
      <c r="AP993" s="1811"/>
      <c r="AQ993" s="1812"/>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801" t="s">
        <v>2568</v>
      </c>
      <c r="E994" s="1802"/>
      <c r="F994" s="1802"/>
      <c r="G994" s="1802"/>
      <c r="H994" s="1802"/>
      <c r="I994" s="1802"/>
      <c r="J994" s="1802"/>
      <c r="K994" s="1802"/>
      <c r="L994" s="1802"/>
      <c r="M994" s="1802"/>
      <c r="N994" s="1802"/>
      <c r="O994" s="1802"/>
      <c r="P994" s="1802"/>
      <c r="Q994" s="1802"/>
      <c r="R994" s="1802"/>
      <c r="S994" s="1802"/>
      <c r="T994" s="1802"/>
      <c r="U994" s="1802"/>
      <c r="V994" s="1802"/>
      <c r="W994" s="1802"/>
      <c r="X994" s="1802"/>
      <c r="Y994" s="1802"/>
      <c r="Z994" s="1802"/>
      <c r="AA994" s="1802"/>
      <c r="AB994" s="1802"/>
      <c r="AC994" s="1802"/>
      <c r="AD994" s="1802"/>
      <c r="AE994" s="1803"/>
      <c r="AF994" s="73"/>
      <c r="AG994" s="14"/>
      <c r="AH994" s="14"/>
      <c r="AI994" s="83"/>
      <c r="AJ994" s="1813"/>
      <c r="AK994" s="1814"/>
      <c r="AL994" s="1814"/>
      <c r="AM994" s="1814"/>
      <c r="AN994" s="1814"/>
      <c r="AO994" s="1814"/>
      <c r="AP994" s="1814"/>
      <c r="AQ994" s="1815"/>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801"/>
      <c r="E995" s="1802"/>
      <c r="F995" s="1802"/>
      <c r="G995" s="1802"/>
      <c r="H995" s="1802"/>
      <c r="I995" s="1802"/>
      <c r="J995" s="1802"/>
      <c r="K995" s="1802"/>
      <c r="L995" s="1802"/>
      <c r="M995" s="1802"/>
      <c r="N995" s="1802"/>
      <c r="O995" s="1802"/>
      <c r="P995" s="1802"/>
      <c r="Q995" s="1802"/>
      <c r="R995" s="1802"/>
      <c r="S995" s="1802"/>
      <c r="T995" s="1802"/>
      <c r="U995" s="1802"/>
      <c r="V995" s="1802"/>
      <c r="W995" s="1802"/>
      <c r="X995" s="1802"/>
      <c r="Y995" s="1802"/>
      <c r="Z995" s="1802"/>
      <c r="AA995" s="1802"/>
      <c r="AB995" s="1802"/>
      <c r="AC995" s="1802"/>
      <c r="AD995" s="1802"/>
      <c r="AE995" s="1803"/>
      <c r="AF995" s="73"/>
      <c r="AG995" s="14"/>
      <c r="AH995" s="14"/>
      <c r="AI995" s="83"/>
      <c r="AJ995" s="1813"/>
      <c r="AK995" s="1814"/>
      <c r="AL995" s="1814"/>
      <c r="AM995" s="1814"/>
      <c r="AN995" s="1814"/>
      <c r="AO995" s="1814"/>
      <c r="AP995" s="1814"/>
      <c r="AQ995" s="1815"/>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801"/>
      <c r="E996" s="1802"/>
      <c r="F996" s="1802"/>
      <c r="G996" s="1802"/>
      <c r="H996" s="1802"/>
      <c r="I996" s="1802"/>
      <c r="J996" s="1802"/>
      <c r="K996" s="1802"/>
      <c r="L996" s="1802"/>
      <c r="M996" s="1802"/>
      <c r="N996" s="1802"/>
      <c r="O996" s="1802"/>
      <c r="P996" s="1802"/>
      <c r="Q996" s="1802"/>
      <c r="R996" s="1802"/>
      <c r="S996" s="1802"/>
      <c r="T996" s="1802"/>
      <c r="U996" s="1802"/>
      <c r="V996" s="1802"/>
      <c r="W996" s="1802"/>
      <c r="X996" s="1802"/>
      <c r="Y996" s="1802"/>
      <c r="Z996" s="1802"/>
      <c r="AA996" s="1802"/>
      <c r="AB996" s="1802"/>
      <c r="AC996" s="1802"/>
      <c r="AD996" s="1802"/>
      <c r="AE996" s="1803"/>
      <c r="AF996" s="73"/>
      <c r="AG996" s="14"/>
      <c r="AH996" s="14"/>
      <c r="AI996" s="83"/>
      <c r="AJ996" s="1813"/>
      <c r="AK996" s="1814"/>
      <c r="AL996" s="1814"/>
      <c r="AM996" s="1814"/>
      <c r="AN996" s="1814"/>
      <c r="AO996" s="1814"/>
      <c r="AP996" s="1814"/>
      <c r="AQ996" s="1815"/>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801"/>
      <c r="E997" s="1802"/>
      <c r="F997" s="1802"/>
      <c r="G997" s="1802"/>
      <c r="H997" s="1802"/>
      <c r="I997" s="1802"/>
      <c r="J997" s="1802"/>
      <c r="K997" s="1802"/>
      <c r="L997" s="1802"/>
      <c r="M997" s="1802"/>
      <c r="N997" s="1802"/>
      <c r="O997" s="1802"/>
      <c r="P997" s="1802"/>
      <c r="Q997" s="1802"/>
      <c r="R997" s="1802"/>
      <c r="S997" s="1802"/>
      <c r="T997" s="1802"/>
      <c r="U997" s="1802"/>
      <c r="V997" s="1802"/>
      <c r="W997" s="1802"/>
      <c r="X997" s="1802"/>
      <c r="Y997" s="1802"/>
      <c r="Z997" s="1802"/>
      <c r="AA997" s="1802"/>
      <c r="AB997" s="1802"/>
      <c r="AC997" s="1802"/>
      <c r="AD997" s="1802"/>
      <c r="AE997" s="1803"/>
      <c r="AF997" s="73"/>
      <c r="AG997" s="14"/>
      <c r="AH997" s="14"/>
      <c r="AI997" s="83"/>
      <c r="AJ997" s="1813"/>
      <c r="AK997" s="1814"/>
      <c r="AL997" s="1814"/>
      <c r="AM997" s="1814"/>
      <c r="AN997" s="1814"/>
      <c r="AO997" s="1814"/>
      <c r="AP997" s="1814"/>
      <c r="AQ997" s="1815"/>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804" t="s">
        <v>2569</v>
      </c>
      <c r="E998" s="1805"/>
      <c r="F998" s="1805"/>
      <c r="G998" s="1805"/>
      <c r="H998" s="1805"/>
      <c r="I998" s="1805"/>
      <c r="J998" s="1805"/>
      <c r="K998" s="1805"/>
      <c r="L998" s="1805"/>
      <c r="M998" s="1805"/>
      <c r="N998" s="1805"/>
      <c r="O998" s="1805"/>
      <c r="P998" s="1805"/>
      <c r="Q998" s="1805"/>
      <c r="R998" s="1805"/>
      <c r="S998" s="1805"/>
      <c r="T998" s="1805"/>
      <c r="U998" s="1805"/>
      <c r="V998" s="1805"/>
      <c r="W998" s="1805"/>
      <c r="X998" s="1805"/>
      <c r="Y998" s="1805"/>
      <c r="Z998" s="1805"/>
      <c r="AA998" s="1805"/>
      <c r="AB998" s="1805"/>
      <c r="AC998" s="1805"/>
      <c r="AD998" s="1805"/>
      <c r="AE998" s="1806"/>
      <c r="AF998" s="73"/>
      <c r="AG998" s="14"/>
      <c r="AH998" s="14"/>
      <c r="AI998" s="83"/>
      <c r="AJ998" s="1813"/>
      <c r="AK998" s="1814"/>
      <c r="AL998" s="1814"/>
      <c r="AM998" s="1814"/>
      <c r="AN998" s="1814"/>
      <c r="AO998" s="1814"/>
      <c r="AP998" s="1814"/>
      <c r="AQ998" s="1815"/>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762" t="s">
        <v>2760</v>
      </c>
      <c r="E999" s="1763"/>
      <c r="F999" s="1763"/>
      <c r="G999" s="1763"/>
      <c r="H999" s="1763"/>
      <c r="I999" s="1763"/>
      <c r="J999" s="1763"/>
      <c r="K999" s="1763"/>
      <c r="L999" s="1763"/>
      <c r="M999" s="1763"/>
      <c r="N999" s="1763"/>
      <c r="O999" s="1763"/>
      <c r="P999" s="1763"/>
      <c r="Q999" s="1763"/>
      <c r="R999" s="1763"/>
      <c r="S999" s="1763"/>
      <c r="T999" s="1763"/>
      <c r="U999" s="1763"/>
      <c r="V999" s="1763"/>
      <c r="W999" s="1763"/>
      <c r="X999" s="1763"/>
      <c r="Y999" s="1763"/>
      <c r="Z999" s="1763"/>
      <c r="AA999" s="1763"/>
      <c r="AB999" s="1763"/>
      <c r="AC999" s="1763"/>
      <c r="AD999" s="1763"/>
      <c r="AE999" s="1764"/>
      <c r="AF999" s="77"/>
      <c r="AG999" s="7"/>
      <c r="AH999" s="7"/>
      <c r="AI999" s="78"/>
      <c r="AJ999" s="1816"/>
      <c r="AK999" s="1817"/>
      <c r="AL999" s="1817"/>
      <c r="AM999" s="1817"/>
      <c r="AN999" s="1817"/>
      <c r="AO999" s="1817"/>
      <c r="AP999" s="1817"/>
      <c r="AQ999" s="1818"/>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767" t="s">
        <v>1396</v>
      </c>
      <c r="E1000" s="1768"/>
      <c r="F1000" s="1768"/>
      <c r="G1000" s="1768"/>
      <c r="H1000" s="1768"/>
      <c r="I1000" s="1768"/>
      <c r="J1000" s="1768"/>
      <c r="K1000" s="1768"/>
      <c r="L1000" s="1768"/>
      <c r="M1000" s="1768"/>
      <c r="N1000" s="1768"/>
      <c r="O1000" s="1768"/>
      <c r="P1000" s="1768"/>
      <c r="Q1000" s="1768"/>
      <c r="R1000" s="1768"/>
      <c r="S1000" s="1768"/>
      <c r="T1000" s="1768"/>
      <c r="U1000" s="1768"/>
      <c r="V1000" s="1768"/>
      <c r="W1000" s="1768"/>
      <c r="X1000" s="1768"/>
      <c r="Y1000" s="1768"/>
      <c r="Z1000" s="1768"/>
      <c r="AA1000" s="1768"/>
      <c r="AB1000" s="1768"/>
      <c r="AC1000" s="1768"/>
      <c r="AD1000" s="1768"/>
      <c r="AE1000" s="1769"/>
      <c r="AF1000" s="79"/>
      <c r="AG1000" s="1779" t="s">
        <v>678</v>
      </c>
      <c r="AH1000" s="1780"/>
      <c r="AI1000" s="87"/>
      <c r="AJ1000" s="1810">
        <f>ROUND(IF(AG1000="yes",AJ991*0.05,0),0)</f>
        <v>0</v>
      </c>
      <c r="AK1000" s="1811"/>
      <c r="AL1000" s="1811"/>
      <c r="AM1000" s="1811"/>
      <c r="AN1000" s="1811"/>
      <c r="AO1000" s="1811"/>
      <c r="AP1000" s="1811"/>
      <c r="AQ1000" s="1812"/>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801" t="s">
        <v>1394</v>
      </c>
      <c r="E1001" s="1802"/>
      <c r="F1001" s="1802"/>
      <c r="G1001" s="1802"/>
      <c r="H1001" s="1802"/>
      <c r="I1001" s="1802"/>
      <c r="J1001" s="1802"/>
      <c r="K1001" s="1802"/>
      <c r="L1001" s="1802"/>
      <c r="M1001" s="1802"/>
      <c r="N1001" s="1802"/>
      <c r="O1001" s="1802"/>
      <c r="P1001" s="1802"/>
      <c r="Q1001" s="1802"/>
      <c r="R1001" s="1802"/>
      <c r="S1001" s="1802"/>
      <c r="T1001" s="1802"/>
      <c r="U1001" s="1802"/>
      <c r="V1001" s="1802"/>
      <c r="W1001" s="1802"/>
      <c r="X1001" s="1802"/>
      <c r="Y1001" s="1802"/>
      <c r="Z1001" s="1802"/>
      <c r="AA1001" s="1802"/>
      <c r="AB1001" s="1802"/>
      <c r="AC1001" s="1802"/>
      <c r="AD1001" s="1802"/>
      <c r="AE1001" s="1803"/>
      <c r="AF1001" s="73"/>
      <c r="AG1001" s="14"/>
      <c r="AH1001" s="14"/>
      <c r="AI1001" s="83"/>
      <c r="AJ1001" s="1813"/>
      <c r="AK1001" s="1814"/>
      <c r="AL1001" s="1814"/>
      <c r="AM1001" s="1814"/>
      <c r="AN1001" s="1814"/>
      <c r="AO1001" s="1814"/>
      <c r="AP1001" s="1814"/>
      <c r="AQ1001" s="1815"/>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801"/>
      <c r="E1002" s="1802"/>
      <c r="F1002" s="1802"/>
      <c r="G1002" s="1802"/>
      <c r="H1002" s="1802"/>
      <c r="I1002" s="1802"/>
      <c r="J1002" s="1802"/>
      <c r="K1002" s="1802"/>
      <c r="L1002" s="1802"/>
      <c r="M1002" s="1802"/>
      <c r="N1002" s="1802"/>
      <c r="O1002" s="1802"/>
      <c r="P1002" s="1802"/>
      <c r="Q1002" s="1802"/>
      <c r="R1002" s="1802"/>
      <c r="S1002" s="1802"/>
      <c r="T1002" s="1802"/>
      <c r="U1002" s="1802"/>
      <c r="V1002" s="1802"/>
      <c r="W1002" s="1802"/>
      <c r="X1002" s="1802"/>
      <c r="Y1002" s="1802"/>
      <c r="Z1002" s="1802"/>
      <c r="AA1002" s="1802"/>
      <c r="AB1002" s="1802"/>
      <c r="AC1002" s="1802"/>
      <c r="AD1002" s="1802"/>
      <c r="AE1002" s="1803"/>
      <c r="AF1002" s="73"/>
      <c r="AG1002" s="14"/>
      <c r="AH1002" s="14"/>
      <c r="AI1002" s="83"/>
      <c r="AJ1002" s="1813"/>
      <c r="AK1002" s="1814"/>
      <c r="AL1002" s="1814"/>
      <c r="AM1002" s="1814"/>
      <c r="AN1002" s="1814"/>
      <c r="AO1002" s="1814"/>
      <c r="AP1002" s="1814"/>
      <c r="AQ1002" s="1815"/>
      <c r="AR1002" s="68"/>
      <c r="AS1002" s="68"/>
      <c r="AT1002" s="68"/>
      <c r="AU1002" s="68"/>
      <c r="AV1002" s="68"/>
      <c r="AW1002" s="68"/>
      <c r="AX1002" s="68"/>
      <c r="AY1002" s="949">
        <f>G753+O797</f>
        <v>145</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801"/>
      <c r="E1003" s="1802"/>
      <c r="F1003" s="1802"/>
      <c r="G1003" s="1802"/>
      <c r="H1003" s="1802"/>
      <c r="I1003" s="1802"/>
      <c r="J1003" s="1802"/>
      <c r="K1003" s="1802"/>
      <c r="L1003" s="1802"/>
      <c r="M1003" s="1802"/>
      <c r="N1003" s="1802"/>
      <c r="O1003" s="1802"/>
      <c r="P1003" s="1802"/>
      <c r="Q1003" s="1802"/>
      <c r="R1003" s="1802"/>
      <c r="S1003" s="1802"/>
      <c r="T1003" s="1802"/>
      <c r="U1003" s="1802"/>
      <c r="V1003" s="1802"/>
      <c r="W1003" s="1802"/>
      <c r="X1003" s="1802"/>
      <c r="Y1003" s="1802"/>
      <c r="Z1003" s="1802"/>
      <c r="AA1003" s="1802"/>
      <c r="AB1003" s="1802"/>
      <c r="AC1003" s="1802"/>
      <c r="AD1003" s="1802"/>
      <c r="AE1003" s="1803"/>
      <c r="AF1003" s="73"/>
      <c r="AG1003" s="14"/>
      <c r="AH1003" s="14"/>
      <c r="AI1003" s="83"/>
      <c r="AJ1003" s="1813"/>
      <c r="AK1003" s="1814"/>
      <c r="AL1003" s="1814"/>
      <c r="AM1003" s="1814"/>
      <c r="AN1003" s="1814"/>
      <c r="AO1003" s="1814"/>
      <c r="AP1003" s="1814"/>
      <c r="AQ1003" s="1815"/>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801"/>
      <c r="E1004" s="1802"/>
      <c r="F1004" s="1802"/>
      <c r="G1004" s="1802"/>
      <c r="H1004" s="1802"/>
      <c r="I1004" s="1802"/>
      <c r="J1004" s="1802"/>
      <c r="K1004" s="1802"/>
      <c r="L1004" s="1802"/>
      <c r="M1004" s="1802"/>
      <c r="N1004" s="1802"/>
      <c r="O1004" s="1802"/>
      <c r="P1004" s="1802"/>
      <c r="Q1004" s="1802"/>
      <c r="R1004" s="1802"/>
      <c r="S1004" s="1802"/>
      <c r="T1004" s="1802"/>
      <c r="U1004" s="1802"/>
      <c r="V1004" s="1802"/>
      <c r="W1004" s="1802"/>
      <c r="X1004" s="1802"/>
      <c r="Y1004" s="1802"/>
      <c r="Z1004" s="1802"/>
      <c r="AA1004" s="1802"/>
      <c r="AB1004" s="1802"/>
      <c r="AC1004" s="1802"/>
      <c r="AD1004" s="1802"/>
      <c r="AE1004" s="1803"/>
      <c r="AF1004" s="73"/>
      <c r="AG1004" s="14"/>
      <c r="AH1004" s="14"/>
      <c r="AI1004" s="83"/>
      <c r="AJ1004" s="1813"/>
      <c r="AK1004" s="1814"/>
      <c r="AL1004" s="1814"/>
      <c r="AM1004" s="1814"/>
      <c r="AN1004" s="1814"/>
      <c r="AO1004" s="1814"/>
      <c r="AP1004" s="1814"/>
      <c r="AQ1004" s="1815"/>
      <c r="AR1004" s="68"/>
      <c r="AS1004" s="68"/>
      <c r="AT1004" s="68"/>
      <c r="AU1004" s="68"/>
      <c r="AV1004" s="68"/>
      <c r="AW1004" s="68"/>
      <c r="AX1004" s="68"/>
      <c r="AY1004" s="948">
        <f>ROUNDDOWN(X1047/I1047,2)</f>
        <v>0.41</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804"/>
      <c r="E1005" s="1805"/>
      <c r="F1005" s="1805"/>
      <c r="G1005" s="1805"/>
      <c r="H1005" s="1805"/>
      <c r="I1005" s="1805"/>
      <c r="J1005" s="1805"/>
      <c r="K1005" s="1805"/>
      <c r="L1005" s="1805"/>
      <c r="M1005" s="1805"/>
      <c r="N1005" s="1805"/>
      <c r="O1005" s="1805"/>
      <c r="P1005" s="1805"/>
      <c r="Q1005" s="1805"/>
      <c r="R1005" s="1805"/>
      <c r="S1005" s="1805"/>
      <c r="T1005" s="1805"/>
      <c r="U1005" s="1805"/>
      <c r="V1005" s="1805"/>
      <c r="W1005" s="1805"/>
      <c r="X1005" s="1805"/>
      <c r="Y1005" s="1805"/>
      <c r="Z1005" s="1805"/>
      <c r="AA1005" s="1805"/>
      <c r="AB1005" s="1805"/>
      <c r="AC1005" s="1805"/>
      <c r="AD1005" s="1805"/>
      <c r="AE1005" s="1806"/>
      <c r="AF1005" s="77"/>
      <c r="AG1005" s="7"/>
      <c r="AH1005" s="7"/>
      <c r="AI1005" s="78"/>
      <c r="AJ1005" s="1816"/>
      <c r="AK1005" s="1817"/>
      <c r="AL1005" s="1817"/>
      <c r="AM1005" s="1817"/>
      <c r="AN1005" s="1817"/>
      <c r="AO1005" s="1817"/>
      <c r="AP1005" s="1817"/>
      <c r="AQ1005" s="1818"/>
      <c r="AR1005" s="68"/>
      <c r="AS1005" s="68"/>
      <c r="AT1005" s="68"/>
      <c r="AU1005" s="68"/>
      <c r="AV1005" s="68"/>
      <c r="AW1005" s="68"/>
      <c r="AX1005" s="68"/>
      <c r="AY1005" s="948">
        <f>ROUNDDOWN(X1051/I1051,2)</f>
        <v>0.26</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681</v>
      </c>
      <c r="D1006" s="1767" t="s">
        <v>1873</v>
      </c>
      <c r="E1006" s="1768"/>
      <c r="F1006" s="1768"/>
      <c r="G1006" s="1768"/>
      <c r="H1006" s="1768"/>
      <c r="I1006" s="1768"/>
      <c r="J1006" s="1768"/>
      <c r="K1006" s="1768"/>
      <c r="L1006" s="1768"/>
      <c r="M1006" s="1768"/>
      <c r="N1006" s="1768"/>
      <c r="O1006" s="1768"/>
      <c r="P1006" s="1768"/>
      <c r="Q1006" s="1768"/>
      <c r="R1006" s="1768"/>
      <c r="S1006" s="1768"/>
      <c r="T1006" s="1768"/>
      <c r="U1006" s="1768"/>
      <c r="V1006" s="1768"/>
      <c r="W1006" s="1768"/>
      <c r="X1006" s="1768"/>
      <c r="Y1006" s="1768"/>
      <c r="Z1006" s="1768"/>
      <c r="AA1006" s="1768"/>
      <c r="AB1006" s="1768"/>
      <c r="AC1006" s="1768"/>
      <c r="AD1006" s="1768"/>
      <c r="AE1006" s="1769"/>
      <c r="AF1006" s="86"/>
      <c r="AG1006" s="1779" t="s">
        <v>678</v>
      </c>
      <c r="AH1006" s="1780"/>
      <c r="AI1006" s="87"/>
      <c r="AJ1006" s="1810">
        <f>ROUND(IF(AG1006="yes",AJ991*0.1,0),0)</f>
        <v>0</v>
      </c>
      <c r="AK1006" s="1811"/>
      <c r="AL1006" s="1811"/>
      <c r="AM1006" s="1811"/>
      <c r="AN1006" s="1811"/>
      <c r="AO1006" s="1811"/>
      <c r="AP1006" s="1811"/>
      <c r="AQ1006" s="1812"/>
      <c r="AR1006" s="68"/>
      <c r="AS1006" s="68"/>
      <c r="AT1006" s="68"/>
      <c r="AU1006" s="68"/>
      <c r="AV1006" s="68"/>
      <c r="AW1006" s="68"/>
      <c r="AX1006" s="68"/>
      <c r="BB1006" s="34"/>
      <c r="BD1006" s="34"/>
      <c r="BE1006" s="34"/>
      <c r="BF1006" s="34"/>
    </row>
    <row r="1007" spans="1:157" ht="12.95" customHeight="1">
      <c r="A1007" s="14"/>
      <c r="B1007" s="73"/>
      <c r="C1007" s="74"/>
      <c r="D1007" s="1770" t="s">
        <v>1395</v>
      </c>
      <c r="E1007" s="1771"/>
      <c r="F1007" s="1771"/>
      <c r="G1007" s="1771"/>
      <c r="H1007" s="1771"/>
      <c r="I1007" s="1771"/>
      <c r="J1007" s="1771"/>
      <c r="K1007" s="1771"/>
      <c r="L1007" s="1771"/>
      <c r="M1007" s="1771"/>
      <c r="N1007" s="1771"/>
      <c r="O1007" s="1771"/>
      <c r="P1007" s="1771"/>
      <c r="Q1007" s="1771"/>
      <c r="R1007" s="1771"/>
      <c r="S1007" s="1771"/>
      <c r="T1007" s="1771"/>
      <c r="U1007" s="1771"/>
      <c r="V1007" s="1771"/>
      <c r="W1007" s="1771"/>
      <c r="X1007" s="1771"/>
      <c r="Y1007" s="1771"/>
      <c r="Z1007" s="1771"/>
      <c r="AA1007" s="1771"/>
      <c r="AB1007" s="1771"/>
      <c r="AC1007" s="1771"/>
      <c r="AD1007" s="1771"/>
      <c r="AE1007" s="1772"/>
      <c r="AF1007" s="73"/>
      <c r="AI1007" s="83"/>
      <c r="AJ1007" s="1813"/>
      <c r="AK1007" s="1814"/>
      <c r="AL1007" s="1814"/>
      <c r="AM1007" s="1814"/>
      <c r="AN1007" s="1814"/>
      <c r="AO1007" s="1814"/>
      <c r="AP1007" s="1814"/>
      <c r="AQ1007" s="1815"/>
      <c r="AR1007" s="68"/>
      <c r="AS1007" s="68"/>
      <c r="AT1007" s="68"/>
      <c r="AU1007" s="68"/>
      <c r="AV1007" s="68"/>
      <c r="AW1007" s="68"/>
      <c r="AX1007" s="68"/>
    </row>
    <row r="1008" spans="1:157" ht="12.95" customHeight="1">
      <c r="A1008" s="14"/>
      <c r="B1008" s="73"/>
      <c r="C1008" s="74"/>
      <c r="D1008" s="1770"/>
      <c r="E1008" s="1771"/>
      <c r="F1008" s="1771"/>
      <c r="G1008" s="1771"/>
      <c r="H1008" s="1771"/>
      <c r="I1008" s="1771"/>
      <c r="J1008" s="1771"/>
      <c r="K1008" s="1771"/>
      <c r="L1008" s="1771"/>
      <c r="M1008" s="1771"/>
      <c r="N1008" s="1771"/>
      <c r="O1008" s="1771"/>
      <c r="P1008" s="1771"/>
      <c r="Q1008" s="1771"/>
      <c r="R1008" s="1771"/>
      <c r="S1008" s="1771"/>
      <c r="T1008" s="1771"/>
      <c r="U1008" s="1771"/>
      <c r="V1008" s="1771"/>
      <c r="W1008" s="1771"/>
      <c r="X1008" s="1771"/>
      <c r="Y1008" s="1771"/>
      <c r="Z1008" s="1771"/>
      <c r="AA1008" s="1771"/>
      <c r="AB1008" s="1771"/>
      <c r="AC1008" s="1771"/>
      <c r="AD1008" s="1771"/>
      <c r="AE1008" s="1772"/>
      <c r="AF1008" s="73"/>
      <c r="AG1008" s="14"/>
      <c r="AH1008" s="14"/>
      <c r="AI1008" s="83"/>
      <c r="AJ1008" s="1813"/>
      <c r="AK1008" s="1814"/>
      <c r="AL1008" s="1814"/>
      <c r="AM1008" s="1814"/>
      <c r="AN1008" s="1814"/>
      <c r="AO1008" s="1814"/>
      <c r="AP1008" s="1814"/>
      <c r="AQ1008" s="1815"/>
      <c r="AR1008" s="68"/>
      <c r="AS1008" s="68"/>
      <c r="AT1008" s="68"/>
      <c r="AU1008" s="68"/>
      <c r="AV1008" s="68"/>
      <c r="AW1008" s="68"/>
      <c r="AX1008" s="68"/>
    </row>
    <row r="1009" spans="1:51" ht="12.95" customHeight="1">
      <c r="A1009" s="14"/>
      <c r="B1009" s="85"/>
      <c r="C1009" s="76"/>
      <c r="D1009" s="1783"/>
      <c r="E1009" s="1784"/>
      <c r="F1009" s="1784"/>
      <c r="G1009" s="1784"/>
      <c r="H1009" s="1784"/>
      <c r="I1009" s="1784"/>
      <c r="J1009" s="1784"/>
      <c r="K1009" s="1784"/>
      <c r="L1009" s="1784"/>
      <c r="M1009" s="1784"/>
      <c r="N1009" s="1784"/>
      <c r="O1009" s="1784"/>
      <c r="P1009" s="1784"/>
      <c r="Q1009" s="1784"/>
      <c r="R1009" s="1784"/>
      <c r="S1009" s="1784"/>
      <c r="T1009" s="1784"/>
      <c r="U1009" s="1784"/>
      <c r="V1009" s="1784"/>
      <c r="W1009" s="1784"/>
      <c r="X1009" s="1784"/>
      <c r="Y1009" s="1784"/>
      <c r="Z1009" s="1784"/>
      <c r="AA1009" s="1784"/>
      <c r="AB1009" s="1784"/>
      <c r="AC1009" s="1784"/>
      <c r="AD1009" s="1784"/>
      <c r="AE1009" s="1785"/>
      <c r="AF1009" s="77"/>
      <c r="AG1009" s="7"/>
      <c r="AH1009" s="7"/>
      <c r="AI1009" s="78"/>
      <c r="AJ1009" s="1816"/>
      <c r="AK1009" s="1817"/>
      <c r="AL1009" s="1817"/>
      <c r="AM1009" s="1817"/>
      <c r="AN1009" s="1817"/>
      <c r="AO1009" s="1817"/>
      <c r="AP1009" s="1817"/>
      <c r="AQ1009" s="1818"/>
      <c r="AR1009" s="68"/>
      <c r="AS1009" s="68"/>
      <c r="AT1009" s="68"/>
      <c r="AU1009" s="68"/>
      <c r="AV1009" s="68"/>
      <c r="AW1009" s="68"/>
      <c r="AX1009" s="68"/>
    </row>
    <row r="1010" spans="1:51" ht="12.95" customHeight="1">
      <c r="A1010" s="14"/>
      <c r="B1010" s="79"/>
      <c r="C1010" s="80" t="s">
        <v>213</v>
      </c>
      <c r="D1010" s="1767" t="s">
        <v>1397</v>
      </c>
      <c r="E1010" s="1768"/>
      <c r="F1010" s="1768"/>
      <c r="G1010" s="1768"/>
      <c r="H1010" s="1768"/>
      <c r="I1010" s="1768"/>
      <c r="J1010" s="1768"/>
      <c r="K1010" s="1768"/>
      <c r="L1010" s="1768"/>
      <c r="M1010" s="1768"/>
      <c r="N1010" s="1768"/>
      <c r="O1010" s="1768"/>
      <c r="P1010" s="1768"/>
      <c r="Q1010" s="1768"/>
      <c r="R1010" s="1768"/>
      <c r="S1010" s="1768"/>
      <c r="T1010" s="1768"/>
      <c r="U1010" s="1768"/>
      <c r="V1010" s="1768"/>
      <c r="W1010" s="1768"/>
      <c r="X1010" s="1768"/>
      <c r="Y1010" s="1768"/>
      <c r="Z1010" s="1768"/>
      <c r="AA1010" s="1768"/>
      <c r="AB1010" s="1768"/>
      <c r="AC1010" s="1768"/>
      <c r="AD1010" s="1768"/>
      <c r="AE1010" s="1769"/>
      <c r="AF1010" s="79"/>
      <c r="AG1010" s="1779" t="s">
        <v>678</v>
      </c>
      <c r="AH1010" s="1780"/>
      <c r="AI1010" s="87"/>
      <c r="AJ1010" s="1810">
        <f>ROUND(IF(AG1010="yes",AJ991*0.02,0),0)</f>
        <v>0</v>
      </c>
      <c r="AK1010" s="1811"/>
      <c r="AL1010" s="1811"/>
      <c r="AM1010" s="1811"/>
      <c r="AN1010" s="1811"/>
      <c r="AO1010" s="1811"/>
      <c r="AP1010" s="1811"/>
      <c r="AQ1010" s="1812"/>
      <c r="AR1010" s="68"/>
      <c r="AS1010" s="68"/>
      <c r="AT1010" s="68"/>
      <c r="AU1010" s="68"/>
      <c r="AV1010" s="68"/>
      <c r="AW1010" s="68"/>
      <c r="AX1010" s="68"/>
      <c r="AY1010" s="215">
        <f>IF(SUM(AY1012:AY1020)&lt;=0.1,SUM(AY1012:AY1020),0.1)</f>
        <v>0</v>
      </c>
    </row>
    <row r="1011" spans="1:51" ht="14.25" customHeight="1">
      <c r="A1011" s="14"/>
      <c r="B1011" s="73"/>
      <c r="C1011" s="74"/>
      <c r="D1011" s="1783" t="s">
        <v>1398</v>
      </c>
      <c r="E1011" s="1784"/>
      <c r="F1011" s="1784"/>
      <c r="G1011" s="1784"/>
      <c r="H1011" s="1784"/>
      <c r="I1011" s="1784"/>
      <c r="J1011" s="1784"/>
      <c r="K1011" s="1784"/>
      <c r="L1011" s="1784"/>
      <c r="M1011" s="1784"/>
      <c r="N1011" s="1784"/>
      <c r="O1011" s="1784"/>
      <c r="P1011" s="1784"/>
      <c r="Q1011" s="1784"/>
      <c r="R1011" s="1784"/>
      <c r="S1011" s="1784"/>
      <c r="T1011" s="1784"/>
      <c r="U1011" s="1784"/>
      <c r="V1011" s="1784"/>
      <c r="W1011" s="1784"/>
      <c r="X1011" s="1784"/>
      <c r="Y1011" s="1784"/>
      <c r="Z1011" s="1784"/>
      <c r="AA1011" s="1784"/>
      <c r="AB1011" s="1784"/>
      <c r="AC1011" s="1784"/>
      <c r="AD1011" s="1784"/>
      <c r="AE1011" s="1785"/>
      <c r="AF1011" s="77"/>
      <c r="AG1011" s="7"/>
      <c r="AH1011" s="7"/>
      <c r="AI1011" s="78"/>
      <c r="AJ1011" s="1816"/>
      <c r="AK1011" s="1817"/>
      <c r="AL1011" s="1817"/>
      <c r="AM1011" s="1817"/>
      <c r="AN1011" s="1817"/>
      <c r="AO1011" s="1817"/>
      <c r="AP1011" s="1817"/>
      <c r="AQ1011" s="1818"/>
      <c r="AR1011" s="68"/>
      <c r="AS1011" s="68"/>
      <c r="AT1011" s="68"/>
      <c r="AU1011" s="68"/>
      <c r="AV1011" s="68"/>
      <c r="AW1011" s="68"/>
      <c r="AX1011" s="68"/>
    </row>
    <row r="1012" spans="1:51" ht="12.95" customHeight="1">
      <c r="A1012" s="14"/>
      <c r="B1012" s="79"/>
      <c r="C1012" s="80" t="s">
        <v>216</v>
      </c>
      <c r="D1012" s="1767" t="s">
        <v>1399</v>
      </c>
      <c r="E1012" s="1768"/>
      <c r="F1012" s="1768"/>
      <c r="G1012" s="1768"/>
      <c r="H1012" s="1768"/>
      <c r="I1012" s="1768"/>
      <c r="J1012" s="1768"/>
      <c r="K1012" s="1768"/>
      <c r="L1012" s="1768"/>
      <c r="M1012" s="1768"/>
      <c r="N1012" s="1768"/>
      <c r="O1012" s="1768"/>
      <c r="P1012" s="1768"/>
      <c r="Q1012" s="1768"/>
      <c r="R1012" s="1768"/>
      <c r="S1012" s="1768"/>
      <c r="T1012" s="1768"/>
      <c r="U1012" s="1768"/>
      <c r="V1012" s="1768"/>
      <c r="W1012" s="1768"/>
      <c r="X1012" s="1768"/>
      <c r="Y1012" s="1768"/>
      <c r="Z1012" s="1768"/>
      <c r="AA1012" s="1768"/>
      <c r="AB1012" s="1768"/>
      <c r="AC1012" s="1768"/>
      <c r="AD1012" s="1768"/>
      <c r="AE1012" s="1769"/>
      <c r="AF1012" s="79"/>
      <c r="AG1012" s="1779" t="s">
        <v>678</v>
      </c>
      <c r="AH1012" s="1780"/>
      <c r="AI1012" s="79"/>
      <c r="AJ1012" s="1810">
        <f>ROUND(IF(AG1012="yes",AJ991*0.02,0),0)</f>
        <v>0</v>
      </c>
      <c r="AK1012" s="1811"/>
      <c r="AL1012" s="1811"/>
      <c r="AM1012" s="1811"/>
      <c r="AN1012" s="1811"/>
      <c r="AO1012" s="1811"/>
      <c r="AP1012" s="1811"/>
      <c r="AQ1012" s="1812"/>
      <c r="AR1012" s="68"/>
      <c r="AS1012" s="68"/>
      <c r="AT1012" s="68"/>
      <c r="AU1012" s="68"/>
      <c r="AV1012" s="68"/>
      <c r="AW1012" s="68"/>
      <c r="AX1012" s="68"/>
      <c r="AY1012" s="213">
        <f>IF(A1064="Yes",0.05,0)</f>
        <v>0</v>
      </c>
    </row>
    <row r="1013" spans="1:51" ht="12.95" customHeight="1">
      <c r="A1013" s="14"/>
      <c r="B1013" s="73"/>
      <c r="C1013" s="74"/>
      <c r="D1013" s="1770" t="s">
        <v>1400</v>
      </c>
      <c r="E1013" s="1771"/>
      <c r="F1013" s="1771"/>
      <c r="G1013" s="1771"/>
      <c r="H1013" s="1771"/>
      <c r="I1013" s="1771"/>
      <c r="J1013" s="1771"/>
      <c r="K1013" s="1771"/>
      <c r="L1013" s="1771"/>
      <c r="M1013" s="1771"/>
      <c r="N1013" s="1771"/>
      <c r="O1013" s="1771"/>
      <c r="P1013" s="1771"/>
      <c r="Q1013" s="1771"/>
      <c r="R1013" s="1771"/>
      <c r="S1013" s="1771"/>
      <c r="T1013" s="1771"/>
      <c r="U1013" s="1771"/>
      <c r="V1013" s="1771"/>
      <c r="W1013" s="1771"/>
      <c r="X1013" s="1771"/>
      <c r="Y1013" s="1771"/>
      <c r="Z1013" s="1771"/>
      <c r="AA1013" s="1771"/>
      <c r="AB1013" s="1771"/>
      <c r="AC1013" s="1771"/>
      <c r="AD1013" s="1771"/>
      <c r="AE1013" s="1772"/>
      <c r="AF1013" s="1870" t="str">
        <f>IF(AND(AG1012="yes",AB212&lt;&gt;1),"The project may not be eligible for this boost","")</f>
        <v/>
      </c>
      <c r="AG1013" s="1871"/>
      <c r="AH1013" s="1871"/>
      <c r="AI1013" s="1872"/>
      <c r="AJ1013" s="1813"/>
      <c r="AK1013" s="1814"/>
      <c r="AL1013" s="1814"/>
      <c r="AM1013" s="1814"/>
      <c r="AN1013" s="1814"/>
      <c r="AO1013" s="1814"/>
      <c r="AP1013" s="1814"/>
      <c r="AQ1013" s="1815"/>
      <c r="AR1013" s="68"/>
      <c r="AS1013" s="68"/>
      <c r="AT1013" s="68"/>
      <c r="AU1013" s="68"/>
      <c r="AV1013" s="68"/>
      <c r="AW1013" s="68"/>
      <c r="AX1013" s="68"/>
      <c r="AY1013" s="213">
        <f>IF(A1070="Yes",0.02,0)</f>
        <v>0</v>
      </c>
    </row>
    <row r="1014" spans="1:51" ht="12.95" customHeight="1">
      <c r="A1014" s="14"/>
      <c r="B1014" s="75"/>
      <c r="C1014" s="76"/>
      <c r="D1014" s="1783"/>
      <c r="E1014" s="1784"/>
      <c r="F1014" s="1784"/>
      <c r="G1014" s="1784"/>
      <c r="H1014" s="1784"/>
      <c r="I1014" s="1784"/>
      <c r="J1014" s="1784"/>
      <c r="K1014" s="1784"/>
      <c r="L1014" s="1784"/>
      <c r="M1014" s="1784"/>
      <c r="N1014" s="1784"/>
      <c r="O1014" s="1784"/>
      <c r="P1014" s="1784"/>
      <c r="Q1014" s="1784"/>
      <c r="R1014" s="1784"/>
      <c r="S1014" s="1784"/>
      <c r="T1014" s="1784"/>
      <c r="U1014" s="1784"/>
      <c r="V1014" s="1784"/>
      <c r="W1014" s="1784"/>
      <c r="X1014" s="1784"/>
      <c r="Y1014" s="1784"/>
      <c r="Z1014" s="1784"/>
      <c r="AA1014" s="1784"/>
      <c r="AB1014" s="1784"/>
      <c r="AC1014" s="1784"/>
      <c r="AD1014" s="1784"/>
      <c r="AE1014" s="1785"/>
      <c r="AF1014" s="1873"/>
      <c r="AG1014" s="1874"/>
      <c r="AH1014" s="1874"/>
      <c r="AI1014" s="1875"/>
      <c r="AJ1014" s="1816"/>
      <c r="AK1014" s="1817"/>
      <c r="AL1014" s="1817"/>
      <c r="AM1014" s="1817"/>
      <c r="AN1014" s="1817"/>
      <c r="AO1014" s="1817"/>
      <c r="AP1014" s="1817"/>
      <c r="AQ1014" s="1818"/>
      <c r="AR1014" s="68"/>
      <c r="AS1014" s="68"/>
      <c r="AT1014" s="68"/>
      <c r="AU1014" s="68"/>
      <c r="AV1014" s="68"/>
      <c r="AW1014" s="68"/>
      <c r="AX1014" s="68"/>
      <c r="AY1014" s="213">
        <f>IF(A1076="Yes",0.04,0)</f>
        <v>0</v>
      </c>
    </row>
    <row r="1015" spans="1:51" ht="12.95" customHeight="1">
      <c r="A1015" s="14"/>
      <c r="B1015" s="79"/>
      <c r="C1015" s="80" t="s">
        <v>219</v>
      </c>
      <c r="D1015" s="1759" t="s">
        <v>1401</v>
      </c>
      <c r="E1015" s="1760"/>
      <c r="F1015" s="1760"/>
      <c r="G1015" s="1760"/>
      <c r="H1015" s="1760"/>
      <c r="I1015" s="1760"/>
      <c r="J1015" s="1760"/>
      <c r="K1015" s="1760"/>
      <c r="L1015" s="1760"/>
      <c r="M1015" s="1760"/>
      <c r="N1015" s="1760"/>
      <c r="O1015" s="1760"/>
      <c r="P1015" s="1760"/>
      <c r="Q1015" s="1760"/>
      <c r="R1015" s="1760"/>
      <c r="S1015" s="1760"/>
      <c r="T1015" s="1760"/>
      <c r="U1015" s="1760"/>
      <c r="V1015" s="1760"/>
      <c r="W1015" s="1760"/>
      <c r="X1015" s="1760"/>
      <c r="Y1015" s="1760"/>
      <c r="Z1015" s="1760"/>
      <c r="AA1015" s="1760"/>
      <c r="AB1015" s="1760"/>
      <c r="AC1015" s="1760"/>
      <c r="AD1015" s="1760"/>
      <c r="AE1015" s="1761"/>
      <c r="AF1015" s="79"/>
      <c r="AG1015" s="1779" t="s">
        <v>678</v>
      </c>
      <c r="AH1015" s="1780"/>
      <c r="AI1015" s="87"/>
      <c r="AJ1015" s="1810">
        <f>IF(AG1015="yes",AJ991*AY1010,0)</f>
        <v>0</v>
      </c>
      <c r="AK1015" s="1811"/>
      <c r="AL1015" s="1811"/>
      <c r="AM1015" s="1811"/>
      <c r="AN1015" s="1811"/>
      <c r="AO1015" s="1811"/>
      <c r="AP1015" s="1811"/>
      <c r="AQ1015" s="1812"/>
      <c r="AR1015" s="68"/>
      <c r="AS1015" s="68"/>
      <c r="AT1015" s="68"/>
      <c r="AU1015" s="68"/>
      <c r="AV1015" s="68"/>
      <c r="AW1015" s="68"/>
      <c r="AX1015" s="68"/>
      <c r="AY1015" s="213">
        <f>IF(A1083="Yes",0.04,0)</f>
        <v>0</v>
      </c>
    </row>
    <row r="1016" spans="1:51" ht="12.95" customHeight="1">
      <c r="A1016" s="14"/>
      <c r="B1016" s="73"/>
      <c r="C1016" s="74"/>
      <c r="D1016" s="1770" t="s">
        <v>1402</v>
      </c>
      <c r="E1016" s="1771"/>
      <c r="F1016" s="1771"/>
      <c r="G1016" s="1771"/>
      <c r="H1016" s="1771"/>
      <c r="I1016" s="1771"/>
      <c r="J1016" s="1771"/>
      <c r="K1016" s="1771"/>
      <c r="L1016" s="1771"/>
      <c r="M1016" s="1771"/>
      <c r="N1016" s="1771"/>
      <c r="O1016" s="1771"/>
      <c r="P1016" s="1771"/>
      <c r="Q1016" s="1771"/>
      <c r="R1016" s="1771"/>
      <c r="S1016" s="1771"/>
      <c r="T1016" s="1771"/>
      <c r="U1016" s="1771"/>
      <c r="V1016" s="1771"/>
      <c r="W1016" s="1771"/>
      <c r="X1016" s="1771"/>
      <c r="Y1016" s="1771"/>
      <c r="Z1016" s="1771"/>
      <c r="AA1016" s="1771"/>
      <c r="AB1016" s="1771"/>
      <c r="AC1016" s="1771"/>
      <c r="AD1016" s="1771"/>
      <c r="AE1016" s="1772"/>
      <c r="AF1016" s="1864" t="str">
        <f>IF(AND(AG1015="Yes",AY1010=0),AY1022,"")</f>
        <v/>
      </c>
      <c r="AG1016" s="1865"/>
      <c r="AH1016" s="1865"/>
      <c r="AI1016" s="1866"/>
      <c r="AJ1016" s="1813"/>
      <c r="AK1016" s="1814"/>
      <c r="AL1016" s="1814"/>
      <c r="AM1016" s="1814"/>
      <c r="AN1016" s="1814"/>
      <c r="AO1016" s="1814"/>
      <c r="AP1016" s="1814"/>
      <c r="AQ1016" s="1815"/>
      <c r="AR1016" s="68"/>
      <c r="AS1016" s="68"/>
      <c r="AT1016" s="68"/>
      <c r="AU1016" s="68"/>
      <c r="AV1016" s="68"/>
      <c r="AW1016" s="68"/>
      <c r="AX1016" s="68"/>
      <c r="AY1016" s="213">
        <f>IF(A1086="Yes",0.01,0)</f>
        <v>0</v>
      </c>
    </row>
    <row r="1017" spans="1:51" ht="12.95" customHeight="1">
      <c r="A1017" s="14"/>
      <c r="B1017" s="73"/>
      <c r="C1017" s="74"/>
      <c r="D1017" s="1770"/>
      <c r="E1017" s="1771"/>
      <c r="F1017" s="1771"/>
      <c r="G1017" s="1771"/>
      <c r="H1017" s="1771"/>
      <c r="I1017" s="1771"/>
      <c r="J1017" s="1771"/>
      <c r="K1017" s="1771"/>
      <c r="L1017" s="1771"/>
      <c r="M1017" s="1771"/>
      <c r="N1017" s="1771"/>
      <c r="O1017" s="1771"/>
      <c r="P1017" s="1771"/>
      <c r="Q1017" s="1771"/>
      <c r="R1017" s="1771"/>
      <c r="S1017" s="1771"/>
      <c r="T1017" s="1771"/>
      <c r="U1017" s="1771"/>
      <c r="V1017" s="1771"/>
      <c r="W1017" s="1771"/>
      <c r="X1017" s="1771"/>
      <c r="Y1017" s="1771"/>
      <c r="Z1017" s="1771"/>
      <c r="AA1017" s="1771"/>
      <c r="AB1017" s="1771"/>
      <c r="AC1017" s="1771"/>
      <c r="AD1017" s="1771"/>
      <c r="AE1017" s="1772"/>
      <c r="AF1017" s="1864"/>
      <c r="AG1017" s="1865"/>
      <c r="AH1017" s="1865"/>
      <c r="AI1017" s="1866"/>
      <c r="AJ1017" s="1813"/>
      <c r="AK1017" s="1814"/>
      <c r="AL1017" s="1814"/>
      <c r="AM1017" s="1814"/>
      <c r="AN1017" s="1814"/>
      <c r="AO1017" s="1814"/>
      <c r="AP1017" s="1814"/>
      <c r="AQ1017" s="1815"/>
      <c r="AR1017" s="68"/>
      <c r="AS1017" s="68"/>
      <c r="AT1017" s="68"/>
      <c r="AU1017" s="68"/>
      <c r="AV1017" s="68"/>
      <c r="AW1017" s="68"/>
      <c r="AX1017" s="68"/>
      <c r="AY1017" s="213">
        <f>IF(A1091="Yes",0.01,0)</f>
        <v>0</v>
      </c>
    </row>
    <row r="1018" spans="1:51" ht="12.95" customHeight="1">
      <c r="A1018" s="14"/>
      <c r="B1018" s="81"/>
      <c r="C1018" s="82"/>
      <c r="D1018" s="1783"/>
      <c r="E1018" s="1784"/>
      <c r="F1018" s="1784"/>
      <c r="G1018" s="1784"/>
      <c r="H1018" s="1784"/>
      <c r="I1018" s="1784"/>
      <c r="J1018" s="1784"/>
      <c r="K1018" s="1784"/>
      <c r="L1018" s="1784"/>
      <c r="M1018" s="1784"/>
      <c r="N1018" s="1784"/>
      <c r="O1018" s="1784"/>
      <c r="P1018" s="1784"/>
      <c r="Q1018" s="1784"/>
      <c r="R1018" s="1784"/>
      <c r="S1018" s="1784"/>
      <c r="T1018" s="1784"/>
      <c r="U1018" s="1784"/>
      <c r="V1018" s="1784"/>
      <c r="W1018" s="1784"/>
      <c r="X1018" s="1784"/>
      <c r="Y1018" s="1784"/>
      <c r="Z1018" s="1784"/>
      <c r="AA1018" s="1784"/>
      <c r="AB1018" s="1784"/>
      <c r="AC1018" s="1784"/>
      <c r="AD1018" s="1784"/>
      <c r="AE1018" s="1785"/>
      <c r="AF1018" s="1867"/>
      <c r="AG1018" s="1868"/>
      <c r="AH1018" s="1868"/>
      <c r="AI1018" s="1869"/>
      <c r="AJ1018" s="1816"/>
      <c r="AK1018" s="1817"/>
      <c r="AL1018" s="1817"/>
      <c r="AM1018" s="1817"/>
      <c r="AN1018" s="1817"/>
      <c r="AO1018" s="1817"/>
      <c r="AP1018" s="1817"/>
      <c r="AQ1018" s="1818"/>
      <c r="AR1018" s="68"/>
      <c r="AS1018" s="68"/>
      <c r="AT1018" s="68"/>
      <c r="AU1018" s="68"/>
      <c r="AV1018" s="68"/>
      <c r="AW1018" s="68"/>
      <c r="AX1018" s="68"/>
      <c r="AY1018" s="213">
        <f>IF(A1094="Yes",0.01,0)</f>
        <v>0</v>
      </c>
    </row>
    <row r="1019" spans="1:51" ht="12.95" customHeight="1">
      <c r="A1019" s="14"/>
      <c r="B1019" s="79"/>
      <c r="C1019" s="80" t="s">
        <v>224</v>
      </c>
      <c r="D1019" s="1830" t="s">
        <v>1403</v>
      </c>
      <c r="E1019" s="1831"/>
      <c r="F1019" s="1831"/>
      <c r="G1019" s="1831"/>
      <c r="H1019" s="1831"/>
      <c r="I1019" s="1831"/>
      <c r="J1019" s="1831"/>
      <c r="K1019" s="1831"/>
      <c r="L1019" s="1831"/>
      <c r="M1019" s="1831"/>
      <c r="N1019" s="1831"/>
      <c r="O1019" s="1831"/>
      <c r="P1019" s="1831"/>
      <c r="Q1019" s="1831"/>
      <c r="R1019" s="1831"/>
      <c r="S1019" s="1831"/>
      <c r="T1019" s="1831"/>
      <c r="U1019" s="1831"/>
      <c r="V1019" s="1831"/>
      <c r="W1019" s="1831"/>
      <c r="X1019" s="1831"/>
      <c r="Y1019" s="1831"/>
      <c r="Z1019" s="1831"/>
      <c r="AA1019" s="1831"/>
      <c r="AB1019" s="1831"/>
      <c r="AC1019" s="1831"/>
      <c r="AD1019" s="1831"/>
      <c r="AE1019" s="1832"/>
      <c r="AF1019" s="79"/>
      <c r="AG1019" s="1779" t="s">
        <v>678</v>
      </c>
      <c r="AH1019" s="1780"/>
      <c r="AI1019" s="87"/>
      <c r="AJ1019" s="1810">
        <f>ROUND(IF(AND(AG1019="Yes",J1023&lt;&gt;"N/A",AF1022&lt;&gt;""),MIN(AF1022,(0.15*AJ991)),0),0)</f>
        <v>0</v>
      </c>
      <c r="AK1019" s="1811"/>
      <c r="AL1019" s="1811"/>
      <c r="AM1019" s="1811"/>
      <c r="AN1019" s="1811"/>
      <c r="AO1019" s="1811"/>
      <c r="AP1019" s="1811"/>
      <c r="AQ1019" s="1812"/>
      <c r="AR1019" s="68"/>
      <c r="AS1019" s="68"/>
      <c r="AT1019" s="68"/>
      <c r="AU1019" s="68"/>
      <c r="AV1019" s="68"/>
      <c r="AW1019" s="68"/>
      <c r="AX1019" s="68"/>
      <c r="AY1019" s="213">
        <f>IF(A1098="Yes",0.02,0)</f>
        <v>0</v>
      </c>
    </row>
    <row r="1020" spans="1:51" ht="12.95" customHeight="1">
      <c r="A1020" s="14"/>
      <c r="B1020" s="81"/>
      <c r="C1020" s="84"/>
      <c r="D1020" s="1833"/>
      <c r="E1020" s="1834"/>
      <c r="F1020" s="1834"/>
      <c r="G1020" s="1834"/>
      <c r="H1020" s="1834"/>
      <c r="I1020" s="1834"/>
      <c r="J1020" s="1834"/>
      <c r="K1020" s="1834"/>
      <c r="L1020" s="1834"/>
      <c r="M1020" s="1834"/>
      <c r="N1020" s="1834"/>
      <c r="O1020" s="1834"/>
      <c r="P1020" s="1834"/>
      <c r="Q1020" s="1834"/>
      <c r="R1020" s="1834"/>
      <c r="S1020" s="1834"/>
      <c r="T1020" s="1834"/>
      <c r="U1020" s="1834"/>
      <c r="V1020" s="1834"/>
      <c r="W1020" s="1834"/>
      <c r="X1020" s="1834"/>
      <c r="Y1020" s="1834"/>
      <c r="Z1020" s="1834"/>
      <c r="AA1020" s="1834"/>
      <c r="AB1020" s="1834"/>
      <c r="AC1020" s="1834"/>
      <c r="AD1020" s="1834"/>
      <c r="AE1020" s="1835"/>
      <c r="AF1020" s="1847" t="str">
        <f>IF(AG1019="yes","Please Select Type and Enter Amount:","")</f>
        <v/>
      </c>
      <c r="AG1020" s="1848"/>
      <c r="AH1020" s="1848"/>
      <c r="AI1020" s="1849"/>
      <c r="AJ1020" s="1813"/>
      <c r="AK1020" s="1814"/>
      <c r="AL1020" s="1814"/>
      <c r="AM1020" s="1814"/>
      <c r="AN1020" s="1814"/>
      <c r="AO1020" s="1814"/>
      <c r="AP1020" s="1814"/>
      <c r="AQ1020" s="1815"/>
      <c r="AR1020" s="68"/>
      <c r="AS1020" s="68"/>
      <c r="AT1020" s="68"/>
      <c r="AU1020" s="68"/>
      <c r="AV1020" s="68"/>
      <c r="AW1020" s="68"/>
      <c r="AX1020" s="68"/>
      <c r="AY1020" s="214">
        <f>IF(A1103="Yes",0.02,0)</f>
        <v>0</v>
      </c>
    </row>
    <row r="1021" spans="1:51" ht="12.95" customHeight="1">
      <c r="A1021" s="14"/>
      <c r="B1021" s="81"/>
      <c r="C1021" s="84"/>
      <c r="D1021" s="1770" t="s">
        <v>1404</v>
      </c>
      <c r="E1021" s="1771"/>
      <c r="F1021" s="1771"/>
      <c r="G1021" s="1771"/>
      <c r="H1021" s="1771"/>
      <c r="I1021" s="1771"/>
      <c r="J1021" s="1771"/>
      <c r="K1021" s="1771"/>
      <c r="L1021" s="1771"/>
      <c r="M1021" s="1771"/>
      <c r="N1021" s="1771"/>
      <c r="O1021" s="1771"/>
      <c r="P1021" s="1771"/>
      <c r="Q1021" s="1771"/>
      <c r="R1021" s="1771"/>
      <c r="S1021" s="1771"/>
      <c r="T1021" s="1771"/>
      <c r="U1021" s="1771"/>
      <c r="V1021" s="1771"/>
      <c r="W1021" s="1771"/>
      <c r="X1021" s="1771"/>
      <c r="Y1021" s="1771"/>
      <c r="Z1021" s="1771"/>
      <c r="AA1021" s="1771"/>
      <c r="AB1021" s="1771"/>
      <c r="AC1021" s="1771"/>
      <c r="AD1021" s="1771"/>
      <c r="AE1021" s="1772"/>
      <c r="AF1021" s="1847"/>
      <c r="AG1021" s="1848"/>
      <c r="AH1021" s="1848"/>
      <c r="AI1021" s="1849"/>
      <c r="AJ1021" s="1813"/>
      <c r="AK1021" s="1814"/>
      <c r="AL1021" s="1814"/>
      <c r="AM1021" s="1814"/>
      <c r="AN1021" s="1814"/>
      <c r="AO1021" s="1814"/>
      <c r="AP1021" s="1814"/>
      <c r="AQ1021" s="1815"/>
      <c r="AR1021" s="68"/>
      <c r="AS1021" s="68"/>
      <c r="AT1021" s="68"/>
      <c r="AU1021" s="68"/>
      <c r="AV1021" s="68"/>
      <c r="AW1021" s="68"/>
      <c r="AX1021" s="68"/>
      <c r="AY1021" s="68"/>
    </row>
    <row r="1022" spans="1:51" ht="12.95" customHeight="1">
      <c r="A1022" s="14"/>
      <c r="B1022" s="81"/>
      <c r="C1022" s="84"/>
      <c r="D1022" s="1770"/>
      <c r="E1022" s="1771"/>
      <c r="F1022" s="1771"/>
      <c r="G1022" s="1771"/>
      <c r="H1022" s="1771"/>
      <c r="I1022" s="1771"/>
      <c r="J1022" s="1771"/>
      <c r="K1022" s="1771"/>
      <c r="L1022" s="1771"/>
      <c r="M1022" s="1771"/>
      <c r="N1022" s="1771"/>
      <c r="O1022" s="1771"/>
      <c r="P1022" s="1771"/>
      <c r="Q1022" s="1771"/>
      <c r="R1022" s="1771"/>
      <c r="S1022" s="1771"/>
      <c r="T1022" s="1771"/>
      <c r="U1022" s="1771"/>
      <c r="V1022" s="1771"/>
      <c r="W1022" s="1771"/>
      <c r="X1022" s="1771"/>
      <c r="Y1022" s="1771"/>
      <c r="Z1022" s="1771"/>
      <c r="AA1022" s="1771"/>
      <c r="AB1022" s="1771"/>
      <c r="AC1022" s="1771"/>
      <c r="AD1022" s="1771"/>
      <c r="AE1022" s="1772"/>
      <c r="AF1022" s="1793"/>
      <c r="AG1022" s="1793"/>
      <c r="AH1022" s="1793"/>
      <c r="AI1022" s="1793"/>
      <c r="AJ1022" s="1813"/>
      <c r="AK1022" s="1814"/>
      <c r="AL1022" s="1814"/>
      <c r="AM1022" s="1814"/>
      <c r="AN1022" s="1814"/>
      <c r="AO1022" s="1814"/>
      <c r="AP1022" s="1814"/>
      <c r="AQ1022" s="1815"/>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839" t="s">
        <v>600</v>
      </c>
      <c r="K1023" s="1840"/>
      <c r="L1023" s="1840"/>
      <c r="M1023" s="1840"/>
      <c r="N1023" s="1840"/>
      <c r="O1023" s="1840"/>
      <c r="P1023" s="1840"/>
      <c r="Q1023" s="1840"/>
      <c r="R1023" s="1840"/>
      <c r="S1023" s="1840"/>
      <c r="T1023" s="1840"/>
      <c r="U1023" s="1840"/>
      <c r="V1023" s="1840"/>
      <c r="W1023" s="1840"/>
      <c r="X1023" s="1840"/>
      <c r="Y1023" s="1840"/>
      <c r="Z1023" s="1840"/>
      <c r="AA1023" s="1840"/>
      <c r="AB1023" s="1840"/>
      <c r="AC1023" s="1840"/>
      <c r="AD1023" s="1840"/>
      <c r="AE1023" s="1841"/>
      <c r="AF1023" s="1793"/>
      <c r="AG1023" s="1793"/>
      <c r="AH1023" s="1793"/>
      <c r="AI1023" s="1793"/>
      <c r="AJ1023" s="1816"/>
      <c r="AK1023" s="1817"/>
      <c r="AL1023" s="1817"/>
      <c r="AM1023" s="1817"/>
      <c r="AN1023" s="1817"/>
      <c r="AO1023" s="1817"/>
      <c r="AP1023" s="1817"/>
      <c r="AQ1023" s="1818"/>
      <c r="AR1023" s="68"/>
      <c r="AS1023" s="68"/>
      <c r="AT1023" s="68"/>
      <c r="AU1023" s="68"/>
      <c r="AV1023" s="68"/>
      <c r="AW1023" s="68"/>
      <c r="AX1023" s="68"/>
      <c r="AY1023" s="68"/>
    </row>
    <row r="1024" spans="1:51" ht="12.95" customHeight="1">
      <c r="A1024" s="14"/>
      <c r="B1024" s="79"/>
      <c r="C1024" s="80" t="s">
        <v>230</v>
      </c>
      <c r="D1024" s="1767" t="s">
        <v>1405</v>
      </c>
      <c r="E1024" s="1768"/>
      <c r="F1024" s="1768"/>
      <c r="G1024" s="1768"/>
      <c r="H1024" s="1768"/>
      <c r="I1024" s="1768"/>
      <c r="J1024" s="1768"/>
      <c r="K1024" s="1768"/>
      <c r="L1024" s="1768"/>
      <c r="M1024" s="1768"/>
      <c r="N1024" s="1768"/>
      <c r="O1024" s="1768"/>
      <c r="P1024" s="1768"/>
      <c r="Q1024" s="1768"/>
      <c r="R1024" s="1768"/>
      <c r="S1024" s="1768"/>
      <c r="T1024" s="1768"/>
      <c r="U1024" s="1768"/>
      <c r="V1024" s="1768"/>
      <c r="W1024" s="1768"/>
      <c r="X1024" s="1768"/>
      <c r="Y1024" s="1768"/>
      <c r="Z1024" s="1768"/>
      <c r="AA1024" s="1768"/>
      <c r="AB1024" s="1768"/>
      <c r="AC1024" s="1768"/>
      <c r="AD1024" s="1768"/>
      <c r="AE1024" s="1769"/>
      <c r="AF1024" s="79"/>
      <c r="AG1024" s="1779" t="s">
        <v>554</v>
      </c>
      <c r="AH1024" s="1780"/>
      <c r="AI1024" s="87"/>
      <c r="AJ1024" s="1810">
        <f>ROUND(IF(AG1024="Yes",AF1026,0),0)</f>
        <v>716489</v>
      </c>
      <c r="AK1024" s="1811"/>
      <c r="AL1024" s="1811"/>
      <c r="AM1024" s="1811"/>
      <c r="AN1024" s="1811"/>
      <c r="AO1024" s="1811"/>
      <c r="AP1024" s="1811"/>
      <c r="AQ1024" s="1812"/>
      <c r="AR1024" s="68"/>
      <c r="AS1024" s="68"/>
      <c r="AT1024" s="68"/>
      <c r="AU1024" s="68"/>
      <c r="AV1024" s="68"/>
      <c r="AW1024" s="68"/>
      <c r="AX1024" s="68"/>
      <c r="AY1024" s="68"/>
    </row>
    <row r="1025" spans="1:51" ht="12.95" customHeight="1">
      <c r="A1025" s="14"/>
      <c r="B1025" s="73"/>
      <c r="C1025" s="74"/>
      <c r="D1025" s="1770" t="s">
        <v>1880</v>
      </c>
      <c r="E1025" s="1771"/>
      <c r="F1025" s="1771"/>
      <c r="G1025" s="1771"/>
      <c r="H1025" s="1771"/>
      <c r="I1025" s="1771"/>
      <c r="J1025" s="1771"/>
      <c r="K1025" s="1771"/>
      <c r="L1025" s="1771"/>
      <c r="M1025" s="1771"/>
      <c r="N1025" s="1771"/>
      <c r="O1025" s="1771"/>
      <c r="P1025" s="1771"/>
      <c r="Q1025" s="1771"/>
      <c r="R1025" s="1771"/>
      <c r="S1025" s="1771"/>
      <c r="T1025" s="1771"/>
      <c r="U1025" s="1771"/>
      <c r="V1025" s="1771"/>
      <c r="W1025" s="1771"/>
      <c r="X1025" s="1771"/>
      <c r="Y1025" s="1771"/>
      <c r="Z1025" s="1771"/>
      <c r="AA1025" s="1771"/>
      <c r="AB1025" s="1771"/>
      <c r="AC1025" s="1771"/>
      <c r="AD1025" s="1771"/>
      <c r="AE1025" s="1772"/>
      <c r="AF1025" s="1807" t="str">
        <f>IF(AG1024="yes","Enter Amount:","")</f>
        <v>Enter Amount:</v>
      </c>
      <c r="AG1025" s="1808"/>
      <c r="AH1025" s="1808"/>
      <c r="AI1025" s="1809"/>
      <c r="AJ1025" s="1813"/>
      <c r="AK1025" s="1814"/>
      <c r="AL1025" s="1814"/>
      <c r="AM1025" s="1814"/>
      <c r="AN1025" s="1814"/>
      <c r="AO1025" s="1814"/>
      <c r="AP1025" s="1814"/>
      <c r="AQ1025" s="1815"/>
      <c r="AR1025" s="68"/>
      <c r="AS1025" s="68"/>
      <c r="AT1025" s="68"/>
      <c r="AU1025" s="68"/>
      <c r="AV1025" s="68"/>
      <c r="AW1025" s="68"/>
      <c r="AX1025" s="68"/>
      <c r="AY1025" s="68"/>
    </row>
    <row r="1026" spans="1:51" ht="12.95" customHeight="1">
      <c r="A1026" s="14"/>
      <c r="B1026" s="73"/>
      <c r="C1026" s="74"/>
      <c r="D1026" s="1770"/>
      <c r="E1026" s="1771"/>
      <c r="F1026" s="1771"/>
      <c r="G1026" s="1771"/>
      <c r="H1026" s="1771"/>
      <c r="I1026" s="1771"/>
      <c r="J1026" s="1771"/>
      <c r="K1026" s="1771"/>
      <c r="L1026" s="1771"/>
      <c r="M1026" s="1771"/>
      <c r="N1026" s="1771"/>
      <c r="O1026" s="1771"/>
      <c r="P1026" s="1771"/>
      <c r="Q1026" s="1771"/>
      <c r="R1026" s="1771"/>
      <c r="S1026" s="1771"/>
      <c r="T1026" s="1771"/>
      <c r="U1026" s="1771"/>
      <c r="V1026" s="1771"/>
      <c r="W1026" s="1771"/>
      <c r="X1026" s="1771"/>
      <c r="Y1026" s="1771"/>
      <c r="Z1026" s="1771"/>
      <c r="AA1026" s="1771"/>
      <c r="AB1026" s="1771"/>
      <c r="AC1026" s="1771"/>
      <c r="AD1026" s="1771"/>
      <c r="AE1026" s="1772"/>
      <c r="AF1026" s="1793">
        <v>716489</v>
      </c>
      <c r="AG1026" s="1793"/>
      <c r="AH1026" s="1793"/>
      <c r="AI1026" s="1793"/>
      <c r="AJ1026" s="1813"/>
      <c r="AK1026" s="1814"/>
      <c r="AL1026" s="1814"/>
      <c r="AM1026" s="1814"/>
      <c r="AN1026" s="1814"/>
      <c r="AO1026" s="1814"/>
      <c r="AP1026" s="1814"/>
      <c r="AQ1026" s="1815"/>
      <c r="AR1026" s="68"/>
      <c r="AS1026" s="68"/>
      <c r="AT1026" s="68"/>
      <c r="AU1026" s="68"/>
      <c r="AV1026" s="68"/>
      <c r="AW1026" s="68"/>
      <c r="AX1026" s="68"/>
      <c r="AY1026" s="68"/>
    </row>
    <row r="1027" spans="1:51" ht="12.95" customHeight="1">
      <c r="A1027" s="14"/>
      <c r="B1027" s="85"/>
      <c r="C1027" s="84"/>
      <c r="D1027" s="1783"/>
      <c r="E1027" s="1784"/>
      <c r="F1027" s="1784"/>
      <c r="G1027" s="1784"/>
      <c r="H1027" s="1784"/>
      <c r="I1027" s="1784"/>
      <c r="J1027" s="1784"/>
      <c r="K1027" s="1784"/>
      <c r="L1027" s="1784"/>
      <c r="M1027" s="1784"/>
      <c r="N1027" s="1784"/>
      <c r="O1027" s="1784"/>
      <c r="P1027" s="1784"/>
      <c r="Q1027" s="1784"/>
      <c r="R1027" s="1784"/>
      <c r="S1027" s="1784"/>
      <c r="T1027" s="1784"/>
      <c r="U1027" s="1784"/>
      <c r="V1027" s="1784"/>
      <c r="W1027" s="1784"/>
      <c r="X1027" s="1784"/>
      <c r="Y1027" s="1784"/>
      <c r="Z1027" s="1784"/>
      <c r="AA1027" s="1784"/>
      <c r="AB1027" s="1784"/>
      <c r="AC1027" s="1784"/>
      <c r="AD1027" s="1784"/>
      <c r="AE1027" s="1785"/>
      <c r="AF1027" s="1793"/>
      <c r="AG1027" s="1793"/>
      <c r="AH1027" s="1793"/>
      <c r="AI1027" s="1793"/>
      <c r="AJ1027" s="1816"/>
      <c r="AK1027" s="1817"/>
      <c r="AL1027" s="1817"/>
      <c r="AM1027" s="1817"/>
      <c r="AN1027" s="1817"/>
      <c r="AO1027" s="1817"/>
      <c r="AP1027" s="1817"/>
      <c r="AQ1027" s="1818"/>
      <c r="AR1027" s="68"/>
      <c r="AS1027" s="68"/>
      <c r="AT1027" s="68"/>
      <c r="AU1027" s="68"/>
      <c r="AV1027" s="68"/>
      <c r="AW1027" s="68"/>
      <c r="AX1027" s="68"/>
      <c r="AY1027" s="68"/>
    </row>
    <row r="1028" spans="1:51" ht="12.95" customHeight="1">
      <c r="A1028" s="14"/>
      <c r="B1028" s="79"/>
      <c r="C1028" s="80" t="s">
        <v>235</v>
      </c>
      <c r="D1028" s="1759" t="s">
        <v>1406</v>
      </c>
      <c r="E1028" s="1760"/>
      <c r="F1028" s="1760"/>
      <c r="G1028" s="1760"/>
      <c r="H1028" s="1760"/>
      <c r="I1028" s="1760"/>
      <c r="J1028" s="1760"/>
      <c r="K1028" s="1760"/>
      <c r="L1028" s="1760"/>
      <c r="M1028" s="1760"/>
      <c r="N1028" s="1760"/>
      <c r="O1028" s="1760"/>
      <c r="P1028" s="1760"/>
      <c r="Q1028" s="1760"/>
      <c r="R1028" s="1760"/>
      <c r="S1028" s="1760"/>
      <c r="T1028" s="1760"/>
      <c r="U1028" s="1760"/>
      <c r="V1028" s="1760"/>
      <c r="W1028" s="1760"/>
      <c r="X1028" s="1760"/>
      <c r="Y1028" s="1760"/>
      <c r="Z1028" s="1760"/>
      <c r="AA1028" s="1760"/>
      <c r="AB1028" s="1760"/>
      <c r="AC1028" s="1760"/>
      <c r="AD1028" s="1760"/>
      <c r="AE1028" s="1761"/>
      <c r="AF1028" s="79"/>
      <c r="AG1028" s="1779" t="s">
        <v>554</v>
      </c>
      <c r="AH1028" s="1780"/>
      <c r="AI1028" s="87"/>
      <c r="AJ1028" s="1810">
        <f>ROUND(IF(AG1028="yes",(AJ991*0.1),0),0)</f>
        <v>7147845</v>
      </c>
      <c r="AK1028" s="1811"/>
      <c r="AL1028" s="1811"/>
      <c r="AM1028" s="1811"/>
      <c r="AN1028" s="1811"/>
      <c r="AO1028" s="1811"/>
      <c r="AP1028" s="1811"/>
      <c r="AQ1028" s="1812"/>
      <c r="AR1028" s="68"/>
      <c r="AS1028" s="68"/>
      <c r="AT1028" s="68"/>
      <c r="AU1028" s="68"/>
      <c r="AV1028" s="68"/>
      <c r="AW1028" s="68"/>
      <c r="AX1028" s="68"/>
      <c r="AY1028" s="68"/>
    </row>
    <row r="1029" spans="1:51" ht="12.95" customHeight="1">
      <c r="A1029" s="14"/>
      <c r="B1029" s="73"/>
      <c r="C1029" s="74"/>
      <c r="D1029" s="1770" t="s">
        <v>1407</v>
      </c>
      <c r="E1029" s="1771"/>
      <c r="F1029" s="1771"/>
      <c r="G1029" s="1771"/>
      <c r="H1029" s="1771"/>
      <c r="I1029" s="1771"/>
      <c r="J1029" s="1771"/>
      <c r="K1029" s="1771"/>
      <c r="L1029" s="1771"/>
      <c r="M1029" s="1771"/>
      <c r="N1029" s="1771"/>
      <c r="O1029" s="1771"/>
      <c r="P1029" s="1771"/>
      <c r="Q1029" s="1771"/>
      <c r="R1029" s="1771"/>
      <c r="S1029" s="1771"/>
      <c r="T1029" s="1771"/>
      <c r="U1029" s="1771"/>
      <c r="V1029" s="1771"/>
      <c r="W1029" s="1771"/>
      <c r="X1029" s="1771"/>
      <c r="Y1029" s="1771"/>
      <c r="Z1029" s="1771"/>
      <c r="AA1029" s="1771"/>
      <c r="AB1029" s="1771"/>
      <c r="AC1029" s="1771"/>
      <c r="AD1029" s="1771"/>
      <c r="AE1029" s="1772"/>
      <c r="AF1029" s="73"/>
      <c r="AG1029" s="14"/>
      <c r="AH1029" s="14"/>
      <c r="AI1029" s="83"/>
      <c r="AJ1029" s="1813"/>
      <c r="AK1029" s="1814"/>
      <c r="AL1029" s="1814"/>
      <c r="AM1029" s="1814"/>
      <c r="AN1029" s="1814"/>
      <c r="AO1029" s="1814"/>
      <c r="AP1029" s="1814"/>
      <c r="AQ1029" s="1815"/>
      <c r="AR1029" s="68"/>
      <c r="AS1029" s="68"/>
      <c r="AT1029" s="68"/>
      <c r="AU1029" s="68"/>
      <c r="AV1029" s="68"/>
      <c r="AW1029" s="68"/>
      <c r="AX1029" s="68"/>
      <c r="AY1029" s="68"/>
    </row>
    <row r="1030" spans="1:51" ht="12.95" customHeight="1">
      <c r="A1030" s="14"/>
      <c r="B1030" s="77"/>
      <c r="C1030" s="74"/>
      <c r="D1030" s="1783"/>
      <c r="E1030" s="1784"/>
      <c r="F1030" s="1784"/>
      <c r="G1030" s="1784"/>
      <c r="H1030" s="1784"/>
      <c r="I1030" s="1784"/>
      <c r="J1030" s="1784"/>
      <c r="K1030" s="1784"/>
      <c r="L1030" s="1784"/>
      <c r="M1030" s="1784"/>
      <c r="N1030" s="1784"/>
      <c r="O1030" s="1784"/>
      <c r="P1030" s="1784"/>
      <c r="Q1030" s="1784"/>
      <c r="R1030" s="1784"/>
      <c r="S1030" s="1784"/>
      <c r="T1030" s="1784"/>
      <c r="U1030" s="1784"/>
      <c r="V1030" s="1784"/>
      <c r="W1030" s="1784"/>
      <c r="X1030" s="1784"/>
      <c r="Y1030" s="1784"/>
      <c r="Z1030" s="1784"/>
      <c r="AA1030" s="1784"/>
      <c r="AB1030" s="1784"/>
      <c r="AC1030" s="1784"/>
      <c r="AD1030" s="1784"/>
      <c r="AE1030" s="1785"/>
      <c r="AF1030" s="73"/>
      <c r="AG1030" s="14"/>
      <c r="AH1030" s="14"/>
      <c r="AI1030" s="83"/>
      <c r="AJ1030" s="1816"/>
      <c r="AK1030" s="1817"/>
      <c r="AL1030" s="1817"/>
      <c r="AM1030" s="1817"/>
      <c r="AN1030" s="1817"/>
      <c r="AO1030" s="1817"/>
      <c r="AP1030" s="1817"/>
      <c r="AQ1030" s="1818"/>
      <c r="AR1030" s="68"/>
      <c r="AS1030" s="68"/>
      <c r="AT1030" s="68"/>
      <c r="AU1030" s="68"/>
      <c r="AV1030" s="68"/>
      <c r="AW1030" s="68"/>
      <c r="AX1030" s="68"/>
      <c r="AY1030" s="68"/>
    </row>
    <row r="1031" spans="1:51" ht="12.95" customHeight="1">
      <c r="A1031" s="14"/>
      <c r="B1031" s="73"/>
      <c r="C1031" s="367" t="s">
        <v>697</v>
      </c>
      <c r="D1031" s="1767" t="s">
        <v>1876</v>
      </c>
      <c r="E1031" s="1768"/>
      <c r="F1031" s="1768"/>
      <c r="G1031" s="1768"/>
      <c r="H1031" s="1768"/>
      <c r="I1031" s="1768"/>
      <c r="J1031" s="1768"/>
      <c r="K1031" s="1768"/>
      <c r="L1031" s="1768"/>
      <c r="M1031" s="1768"/>
      <c r="N1031" s="1768"/>
      <c r="O1031" s="1768"/>
      <c r="P1031" s="1768"/>
      <c r="Q1031" s="1768"/>
      <c r="R1031" s="1768"/>
      <c r="S1031" s="1768"/>
      <c r="T1031" s="1768"/>
      <c r="U1031" s="1768"/>
      <c r="V1031" s="1768"/>
      <c r="W1031" s="1768"/>
      <c r="X1031" s="1768"/>
      <c r="Y1031" s="1768"/>
      <c r="Z1031" s="1768"/>
      <c r="AA1031" s="1768"/>
      <c r="AB1031" s="1768"/>
      <c r="AC1031" s="1768"/>
      <c r="AD1031" s="1768"/>
      <c r="AE1031" s="1769"/>
      <c r="AF1031" s="79"/>
      <c r="AG1031" s="1779" t="s">
        <v>678</v>
      </c>
      <c r="AH1031" s="1780"/>
      <c r="AI1031" s="87"/>
      <c r="AJ1031" s="1810">
        <f>ROUND(IF(AG1031="yes",(AJ991*0.15),0),0)</f>
        <v>0</v>
      </c>
      <c r="AK1031" s="1811"/>
      <c r="AL1031" s="1811"/>
      <c r="AM1031" s="1811"/>
      <c r="AN1031" s="1811"/>
      <c r="AO1031" s="1811"/>
      <c r="AP1031" s="1811"/>
      <c r="AQ1031" s="1812"/>
      <c r="AR1031" s="68"/>
      <c r="AS1031" s="68"/>
      <c r="AT1031" s="68"/>
      <c r="AU1031" s="68"/>
      <c r="AV1031" s="68"/>
      <c r="AW1031" s="68"/>
      <c r="AX1031" s="68"/>
      <c r="AY1031" s="68"/>
    </row>
    <row r="1032" spans="1:51" ht="12.95" customHeight="1">
      <c r="A1032" s="14"/>
      <c r="B1032" s="73"/>
      <c r="C1032" s="74"/>
      <c r="D1032" s="1822" t="s">
        <v>1877</v>
      </c>
      <c r="E1032" s="1278"/>
      <c r="F1032" s="1278"/>
      <c r="G1032" s="1278"/>
      <c r="H1032" s="1278"/>
      <c r="I1032" s="1278"/>
      <c r="J1032" s="1278"/>
      <c r="K1032" s="1278"/>
      <c r="L1032" s="1278"/>
      <c r="M1032" s="1278"/>
      <c r="N1032" s="1278"/>
      <c r="O1032" s="1278"/>
      <c r="P1032" s="1278"/>
      <c r="Q1032" s="1278"/>
      <c r="R1032" s="1278"/>
      <c r="S1032" s="1278"/>
      <c r="T1032" s="1278"/>
      <c r="U1032" s="1278"/>
      <c r="V1032" s="1278"/>
      <c r="W1032" s="1278"/>
      <c r="X1032" s="1278"/>
      <c r="Y1032" s="1278"/>
      <c r="Z1032" s="1278"/>
      <c r="AA1032" s="1278"/>
      <c r="AB1032" s="1278"/>
      <c r="AC1032" s="1278"/>
      <c r="AD1032" s="1278"/>
      <c r="AE1032" s="1823"/>
      <c r="AF1032" s="950"/>
      <c r="AG1032" s="951"/>
      <c r="AH1032" s="951"/>
      <c r="AI1032" s="952"/>
      <c r="AJ1032" s="1813"/>
      <c r="AK1032" s="1814"/>
      <c r="AL1032" s="1814"/>
      <c r="AM1032" s="1814"/>
      <c r="AN1032" s="1814"/>
      <c r="AO1032" s="1814"/>
      <c r="AP1032" s="1814"/>
      <c r="AQ1032" s="1815"/>
      <c r="AR1032" s="68"/>
      <c r="AS1032" s="68"/>
      <c r="AT1032" s="68"/>
      <c r="AU1032" s="68"/>
      <c r="AV1032" s="68"/>
      <c r="AW1032" s="68"/>
      <c r="AX1032" s="68"/>
      <c r="AY1032" s="68"/>
    </row>
    <row r="1033" spans="1:51" ht="12.95" customHeight="1">
      <c r="A1033" s="14"/>
      <c r="B1033" s="73"/>
      <c r="C1033" s="74"/>
      <c r="D1033" s="1822"/>
      <c r="E1033" s="1278"/>
      <c r="F1033" s="1278"/>
      <c r="G1033" s="1278"/>
      <c r="H1033" s="1278"/>
      <c r="I1033" s="1278"/>
      <c r="J1033" s="1278"/>
      <c r="K1033" s="1278"/>
      <c r="L1033" s="1278"/>
      <c r="M1033" s="1278"/>
      <c r="N1033" s="1278"/>
      <c r="O1033" s="1278"/>
      <c r="P1033" s="1278"/>
      <c r="Q1033" s="1278"/>
      <c r="R1033" s="1278"/>
      <c r="S1033" s="1278"/>
      <c r="T1033" s="1278"/>
      <c r="U1033" s="1278"/>
      <c r="V1033" s="1278"/>
      <c r="W1033" s="1278"/>
      <c r="X1033" s="1278"/>
      <c r="Y1033" s="1278"/>
      <c r="Z1033" s="1278"/>
      <c r="AA1033" s="1278"/>
      <c r="AB1033" s="1278"/>
      <c r="AC1033" s="1278"/>
      <c r="AD1033" s="1278"/>
      <c r="AE1033" s="1823"/>
      <c r="AF1033" s="950"/>
      <c r="AG1033" s="951"/>
      <c r="AH1033" s="951"/>
      <c r="AI1033" s="952"/>
      <c r="AJ1033" s="1813"/>
      <c r="AK1033" s="1814"/>
      <c r="AL1033" s="1814"/>
      <c r="AM1033" s="1814"/>
      <c r="AN1033" s="1814"/>
      <c r="AO1033" s="1814"/>
      <c r="AP1033" s="1814"/>
      <c r="AQ1033" s="1815"/>
      <c r="AR1033" s="68"/>
      <c r="AS1033" s="68"/>
      <c r="AT1033" s="68"/>
      <c r="AU1033" s="68"/>
      <c r="AV1033" s="68"/>
      <c r="AW1033" s="68"/>
      <c r="AX1033" s="68"/>
      <c r="AY1033" s="68"/>
    </row>
    <row r="1034" spans="1:51" ht="12.95" customHeight="1">
      <c r="A1034" s="14"/>
      <c r="B1034" s="73"/>
      <c r="C1034" s="74"/>
      <c r="D1034" s="1824"/>
      <c r="E1034" s="1825"/>
      <c r="F1034" s="1825"/>
      <c r="G1034" s="1825"/>
      <c r="H1034" s="1825"/>
      <c r="I1034" s="1825"/>
      <c r="J1034" s="1825"/>
      <c r="K1034" s="1825"/>
      <c r="L1034" s="1825"/>
      <c r="M1034" s="1825"/>
      <c r="N1034" s="1825"/>
      <c r="O1034" s="1825"/>
      <c r="P1034" s="1825"/>
      <c r="Q1034" s="1825"/>
      <c r="R1034" s="1825"/>
      <c r="S1034" s="1825"/>
      <c r="T1034" s="1825"/>
      <c r="U1034" s="1825"/>
      <c r="V1034" s="1825"/>
      <c r="W1034" s="1825"/>
      <c r="X1034" s="1825"/>
      <c r="Y1034" s="1825"/>
      <c r="Z1034" s="1825"/>
      <c r="AA1034" s="1825"/>
      <c r="AB1034" s="1825"/>
      <c r="AC1034" s="1825"/>
      <c r="AD1034" s="1825"/>
      <c r="AE1034" s="1826"/>
      <c r="AF1034" s="953"/>
      <c r="AG1034" s="954"/>
      <c r="AH1034" s="954"/>
      <c r="AI1034" s="955"/>
      <c r="AJ1034" s="1816"/>
      <c r="AK1034" s="1817"/>
      <c r="AL1034" s="1817"/>
      <c r="AM1034" s="1817"/>
      <c r="AN1034" s="1817"/>
      <c r="AO1034" s="1817"/>
      <c r="AP1034" s="1817"/>
      <c r="AQ1034" s="1818"/>
      <c r="AR1034" s="68"/>
      <c r="AS1034" s="68"/>
      <c r="AT1034" s="68"/>
      <c r="AU1034" s="68"/>
      <c r="AV1034" s="68"/>
      <c r="AW1034" s="68"/>
      <c r="AX1034" s="68"/>
      <c r="AY1034" s="68"/>
    </row>
    <row r="1035" spans="1:51" ht="12.95" customHeight="1">
      <c r="A1035" s="14"/>
      <c r="B1035" s="73"/>
      <c r="C1035" s="367" t="s">
        <v>697</v>
      </c>
      <c r="D1035" s="1759" t="s">
        <v>1878</v>
      </c>
      <c r="E1035" s="1760"/>
      <c r="F1035" s="1760"/>
      <c r="G1035" s="1760"/>
      <c r="H1035" s="1760"/>
      <c r="I1035" s="1760"/>
      <c r="J1035" s="1760"/>
      <c r="K1035" s="1760"/>
      <c r="L1035" s="1760"/>
      <c r="M1035" s="1760"/>
      <c r="N1035" s="1760"/>
      <c r="O1035" s="1760"/>
      <c r="P1035" s="1760"/>
      <c r="Q1035" s="1760"/>
      <c r="R1035" s="1760"/>
      <c r="S1035" s="1760"/>
      <c r="T1035" s="1760"/>
      <c r="U1035" s="1760"/>
      <c r="V1035" s="1760"/>
      <c r="W1035" s="1760"/>
      <c r="X1035" s="1760"/>
      <c r="Y1035" s="1760"/>
      <c r="Z1035" s="1760"/>
      <c r="AA1035" s="1760"/>
      <c r="AB1035" s="1760"/>
      <c r="AC1035" s="1760"/>
      <c r="AD1035" s="1760"/>
      <c r="AE1035" s="1761"/>
      <c r="AF1035" s="73"/>
      <c r="AG1035" s="1781" t="s">
        <v>554</v>
      </c>
      <c r="AH1035" s="1782"/>
      <c r="AI1035" s="83"/>
      <c r="AJ1035" s="1810">
        <f>ROUND(IF(AND(AG1035="yes",AJ1031=0),(AJ991*0.1),0),0)</f>
        <v>7147845</v>
      </c>
      <c r="AK1035" s="1811"/>
      <c r="AL1035" s="1811"/>
      <c r="AM1035" s="1811"/>
      <c r="AN1035" s="1811"/>
      <c r="AO1035" s="1811"/>
      <c r="AP1035" s="1811"/>
      <c r="AQ1035" s="1812"/>
      <c r="AR1035" s="68"/>
      <c r="AS1035" s="68"/>
      <c r="AT1035" s="68"/>
      <c r="AU1035" s="68"/>
      <c r="AV1035" s="68"/>
      <c r="AW1035" s="68"/>
      <c r="AX1035" s="68"/>
      <c r="AY1035" s="68"/>
    </row>
    <row r="1036" spans="1:51" ht="12.95" customHeight="1">
      <c r="A1036" s="14"/>
      <c r="B1036" s="73"/>
      <c r="C1036" s="74"/>
      <c r="D1036" s="1822" t="s">
        <v>1879</v>
      </c>
      <c r="E1036" s="1278"/>
      <c r="F1036" s="1278"/>
      <c r="G1036" s="1278"/>
      <c r="H1036" s="1278"/>
      <c r="I1036" s="1278"/>
      <c r="J1036" s="1278"/>
      <c r="K1036" s="1278"/>
      <c r="L1036" s="1278"/>
      <c r="M1036" s="1278"/>
      <c r="N1036" s="1278"/>
      <c r="O1036" s="1278"/>
      <c r="P1036" s="1278"/>
      <c r="Q1036" s="1278"/>
      <c r="R1036" s="1278"/>
      <c r="S1036" s="1278"/>
      <c r="T1036" s="1278"/>
      <c r="U1036" s="1278"/>
      <c r="V1036" s="1278"/>
      <c r="W1036" s="1278"/>
      <c r="X1036" s="1278"/>
      <c r="Y1036" s="1278"/>
      <c r="Z1036" s="1278"/>
      <c r="AA1036" s="1278"/>
      <c r="AB1036" s="1278"/>
      <c r="AC1036" s="1278"/>
      <c r="AD1036" s="1278"/>
      <c r="AE1036" s="1823"/>
      <c r="AF1036" s="73"/>
      <c r="AG1036" s="14"/>
      <c r="AH1036" s="14"/>
      <c r="AI1036" s="83"/>
      <c r="AJ1036" s="1813"/>
      <c r="AK1036" s="1814"/>
      <c r="AL1036" s="1814"/>
      <c r="AM1036" s="1814"/>
      <c r="AN1036" s="1814"/>
      <c r="AO1036" s="1814"/>
      <c r="AP1036" s="1814"/>
      <c r="AQ1036" s="1815"/>
      <c r="AR1036" s="68"/>
      <c r="AS1036" s="68"/>
      <c r="AT1036" s="68"/>
      <c r="AU1036" s="68"/>
      <c r="AV1036" s="68"/>
      <c r="AW1036" s="68"/>
      <c r="AX1036" s="68"/>
      <c r="AY1036" s="68"/>
    </row>
    <row r="1037" spans="1:51" ht="12.95" customHeight="1">
      <c r="A1037" s="14"/>
      <c r="B1037" s="73"/>
      <c r="C1037" s="74"/>
      <c r="D1037" s="1822"/>
      <c r="E1037" s="1278"/>
      <c r="F1037" s="1278"/>
      <c r="G1037" s="1278"/>
      <c r="H1037" s="1278"/>
      <c r="I1037" s="1278"/>
      <c r="J1037" s="1278"/>
      <c r="K1037" s="1278"/>
      <c r="L1037" s="1278"/>
      <c r="M1037" s="1278"/>
      <c r="N1037" s="1278"/>
      <c r="O1037" s="1278"/>
      <c r="P1037" s="1278"/>
      <c r="Q1037" s="1278"/>
      <c r="R1037" s="1278"/>
      <c r="S1037" s="1278"/>
      <c r="T1037" s="1278"/>
      <c r="U1037" s="1278"/>
      <c r="V1037" s="1278"/>
      <c r="W1037" s="1278"/>
      <c r="X1037" s="1278"/>
      <c r="Y1037" s="1278"/>
      <c r="Z1037" s="1278"/>
      <c r="AA1037" s="1278"/>
      <c r="AB1037" s="1278"/>
      <c r="AC1037" s="1278"/>
      <c r="AD1037" s="1278"/>
      <c r="AE1037" s="1823"/>
      <c r="AF1037" s="73"/>
      <c r="AG1037" s="14"/>
      <c r="AH1037" s="14"/>
      <c r="AI1037" s="83"/>
      <c r="AJ1037" s="1813"/>
      <c r="AK1037" s="1814"/>
      <c r="AL1037" s="1814"/>
      <c r="AM1037" s="1814"/>
      <c r="AN1037" s="1814"/>
      <c r="AO1037" s="1814"/>
      <c r="AP1037" s="1814"/>
      <c r="AQ1037" s="1815"/>
      <c r="AR1037" s="68"/>
      <c r="AS1037" s="68"/>
      <c r="AT1037" s="68"/>
      <c r="AU1037" s="68"/>
      <c r="AV1037" s="68"/>
      <c r="AW1037" s="68"/>
      <c r="AX1037" s="68"/>
      <c r="AY1037" s="68"/>
    </row>
    <row r="1038" spans="1:51" ht="12.95" customHeight="1">
      <c r="A1038" s="14"/>
      <c r="B1038" s="73"/>
      <c r="C1038" s="74"/>
      <c r="D1038" s="1822"/>
      <c r="E1038" s="1278"/>
      <c r="F1038" s="1278"/>
      <c r="G1038" s="1278"/>
      <c r="H1038" s="1278"/>
      <c r="I1038" s="1278"/>
      <c r="J1038" s="1278"/>
      <c r="K1038" s="1278"/>
      <c r="L1038" s="1278"/>
      <c r="M1038" s="1278"/>
      <c r="N1038" s="1278"/>
      <c r="O1038" s="1278"/>
      <c r="P1038" s="1278"/>
      <c r="Q1038" s="1278"/>
      <c r="R1038" s="1278"/>
      <c r="S1038" s="1278"/>
      <c r="T1038" s="1278"/>
      <c r="U1038" s="1278"/>
      <c r="V1038" s="1278"/>
      <c r="W1038" s="1278"/>
      <c r="X1038" s="1278"/>
      <c r="Y1038" s="1278"/>
      <c r="Z1038" s="1278"/>
      <c r="AA1038" s="1278"/>
      <c r="AB1038" s="1278"/>
      <c r="AC1038" s="1278"/>
      <c r="AD1038" s="1278"/>
      <c r="AE1038" s="1823"/>
      <c r="AF1038" s="73"/>
      <c r="AG1038" s="14"/>
      <c r="AH1038" s="14"/>
      <c r="AI1038" s="83"/>
      <c r="AJ1038" s="1813"/>
      <c r="AK1038" s="1814"/>
      <c r="AL1038" s="1814"/>
      <c r="AM1038" s="1814"/>
      <c r="AN1038" s="1814"/>
      <c r="AO1038" s="1814"/>
      <c r="AP1038" s="1814"/>
      <c r="AQ1038" s="1815"/>
      <c r="AR1038" s="68"/>
      <c r="AS1038" s="68"/>
      <c r="AT1038" s="68"/>
      <c r="AU1038" s="68"/>
      <c r="AV1038" s="68"/>
      <c r="AW1038" s="68"/>
      <c r="AX1038" s="68"/>
      <c r="AY1038" s="68"/>
    </row>
    <row r="1039" spans="1:51" ht="12.95" customHeight="1">
      <c r="A1039" s="14"/>
      <c r="B1039" s="73"/>
      <c r="C1039" s="74"/>
      <c r="D1039" s="1824"/>
      <c r="E1039" s="1825"/>
      <c r="F1039" s="1825"/>
      <c r="G1039" s="1825"/>
      <c r="H1039" s="1825"/>
      <c r="I1039" s="1825"/>
      <c r="J1039" s="1825"/>
      <c r="K1039" s="1825"/>
      <c r="L1039" s="1825"/>
      <c r="M1039" s="1825"/>
      <c r="N1039" s="1825"/>
      <c r="O1039" s="1825"/>
      <c r="P1039" s="1825"/>
      <c r="Q1039" s="1825"/>
      <c r="R1039" s="1825"/>
      <c r="S1039" s="1825"/>
      <c r="T1039" s="1825"/>
      <c r="U1039" s="1825"/>
      <c r="V1039" s="1825"/>
      <c r="W1039" s="1825"/>
      <c r="X1039" s="1825"/>
      <c r="Y1039" s="1825"/>
      <c r="Z1039" s="1825"/>
      <c r="AA1039" s="1825"/>
      <c r="AB1039" s="1825"/>
      <c r="AC1039" s="1825"/>
      <c r="AD1039" s="1825"/>
      <c r="AE1039" s="1826"/>
      <c r="AF1039" s="73"/>
      <c r="AG1039" s="14"/>
      <c r="AH1039" s="14"/>
      <c r="AI1039" s="83"/>
      <c r="AJ1039" s="1813"/>
      <c r="AK1039" s="1814"/>
      <c r="AL1039" s="1814"/>
      <c r="AM1039" s="1814"/>
      <c r="AN1039" s="1814"/>
      <c r="AO1039" s="1814"/>
      <c r="AP1039" s="1814"/>
      <c r="AQ1039" s="1815"/>
      <c r="AR1039" s="68"/>
      <c r="AS1039" s="68"/>
      <c r="AT1039" s="68"/>
      <c r="AU1039" s="68"/>
      <c r="AV1039" s="68"/>
      <c r="AW1039" s="68"/>
      <c r="AX1039" s="68"/>
      <c r="AY1039" s="68"/>
    </row>
    <row r="1040" spans="1:51" ht="12.95" customHeight="1">
      <c r="A1040" s="14"/>
      <c r="B1040" s="79"/>
      <c r="C1040" s="131" t="s">
        <v>1035</v>
      </c>
      <c r="D1040" s="1767" t="s">
        <v>1408</v>
      </c>
      <c r="E1040" s="1768"/>
      <c r="F1040" s="1768"/>
      <c r="G1040" s="1768"/>
      <c r="H1040" s="1768"/>
      <c r="I1040" s="1768"/>
      <c r="J1040" s="1768"/>
      <c r="K1040" s="1768"/>
      <c r="L1040" s="1768"/>
      <c r="M1040" s="1768"/>
      <c r="N1040" s="1768"/>
      <c r="O1040" s="1768"/>
      <c r="P1040" s="1768"/>
      <c r="Q1040" s="1768"/>
      <c r="R1040" s="1768"/>
      <c r="S1040" s="1768"/>
      <c r="T1040" s="1768"/>
      <c r="U1040" s="1768"/>
      <c r="V1040" s="1768"/>
      <c r="W1040" s="1768"/>
      <c r="X1040" s="1768"/>
      <c r="Y1040" s="1768"/>
      <c r="Z1040" s="1768"/>
      <c r="AA1040" s="1768"/>
      <c r="AB1040" s="1768"/>
      <c r="AC1040" s="1768"/>
      <c r="AD1040" s="1768"/>
      <c r="AE1040" s="1769"/>
      <c r="AF1040" s="79"/>
      <c r="AG1040" s="1779" t="s">
        <v>678</v>
      </c>
      <c r="AH1040" s="1780"/>
      <c r="AI1040" s="87"/>
      <c r="AJ1040" s="1810">
        <f>ROUND(IF(AG1040="yes",(AJ991*0.1),0),0)</f>
        <v>0</v>
      </c>
      <c r="AK1040" s="1811"/>
      <c r="AL1040" s="1811"/>
      <c r="AM1040" s="1811"/>
      <c r="AN1040" s="1811"/>
      <c r="AO1040" s="1811"/>
      <c r="AP1040" s="1811"/>
      <c r="AQ1040" s="1812"/>
      <c r="AR1040" s="68"/>
      <c r="AS1040" s="68"/>
      <c r="AT1040" s="68"/>
      <c r="AU1040" s="68"/>
      <c r="AV1040" s="68"/>
      <c r="AW1040" s="68"/>
      <c r="AX1040" s="68"/>
      <c r="AY1040" s="68"/>
    </row>
    <row r="1041" spans="1:51" ht="12.95" customHeight="1">
      <c r="A1041" s="14"/>
      <c r="B1041" s="73"/>
      <c r="C1041" s="74"/>
      <c r="D1041" s="1770" t="s">
        <v>2504</v>
      </c>
      <c r="E1041" s="1771"/>
      <c r="F1041" s="1771"/>
      <c r="G1041" s="1771"/>
      <c r="H1041" s="1771"/>
      <c r="I1041" s="1771"/>
      <c r="J1041" s="1771"/>
      <c r="K1041" s="1771"/>
      <c r="L1041" s="1771"/>
      <c r="M1041" s="1771"/>
      <c r="N1041" s="1771"/>
      <c r="O1041" s="1771"/>
      <c r="P1041" s="1771"/>
      <c r="Q1041" s="1771"/>
      <c r="R1041" s="1771"/>
      <c r="S1041" s="1771"/>
      <c r="T1041" s="1771"/>
      <c r="U1041" s="1771"/>
      <c r="V1041" s="1771"/>
      <c r="W1041" s="1771"/>
      <c r="X1041" s="1771"/>
      <c r="Y1041" s="1771"/>
      <c r="Z1041" s="1771"/>
      <c r="AA1041" s="1771"/>
      <c r="AB1041" s="1771"/>
      <c r="AC1041" s="1771"/>
      <c r="AD1041" s="1771"/>
      <c r="AE1041" s="1772"/>
      <c r="AF1041" s="73"/>
      <c r="AG1041" s="14"/>
      <c r="AH1041" s="14"/>
      <c r="AI1041" s="83"/>
      <c r="AJ1041" s="1813"/>
      <c r="AK1041" s="1814"/>
      <c r="AL1041" s="1814"/>
      <c r="AM1041" s="1814"/>
      <c r="AN1041" s="1814"/>
      <c r="AO1041" s="1814"/>
      <c r="AP1041" s="1814"/>
      <c r="AQ1041" s="1815"/>
      <c r="AR1041" s="68"/>
      <c r="AS1041" s="68"/>
      <c r="AT1041" s="68"/>
      <c r="AU1041" s="68"/>
      <c r="AV1041" s="68"/>
      <c r="AW1041" s="68"/>
      <c r="AX1041" s="68"/>
      <c r="AY1041" s="68"/>
    </row>
    <row r="1042" spans="1:51" ht="12.95" customHeight="1">
      <c r="A1042" s="14"/>
      <c r="B1042" s="73"/>
      <c r="C1042" s="74"/>
      <c r="D1042" s="1770"/>
      <c r="E1042" s="1771"/>
      <c r="F1042" s="1771"/>
      <c r="G1042" s="1771"/>
      <c r="H1042" s="1771"/>
      <c r="I1042" s="1771"/>
      <c r="J1042" s="1771"/>
      <c r="K1042" s="1771"/>
      <c r="L1042" s="1771"/>
      <c r="M1042" s="1771"/>
      <c r="N1042" s="1771"/>
      <c r="O1042" s="1771"/>
      <c r="P1042" s="1771"/>
      <c r="Q1042" s="1771"/>
      <c r="R1042" s="1771"/>
      <c r="S1042" s="1771"/>
      <c r="T1042" s="1771"/>
      <c r="U1042" s="1771"/>
      <c r="V1042" s="1771"/>
      <c r="W1042" s="1771"/>
      <c r="X1042" s="1771"/>
      <c r="Y1042" s="1771"/>
      <c r="Z1042" s="1771"/>
      <c r="AA1042" s="1771"/>
      <c r="AB1042" s="1771"/>
      <c r="AC1042" s="1771"/>
      <c r="AD1042" s="1771"/>
      <c r="AE1042" s="1772"/>
      <c r="AF1042" s="73"/>
      <c r="AG1042" s="14"/>
      <c r="AH1042" s="14"/>
      <c r="AI1042" s="83"/>
      <c r="AJ1042" s="1813"/>
      <c r="AK1042" s="1814"/>
      <c r="AL1042" s="1814"/>
      <c r="AM1042" s="1814"/>
      <c r="AN1042" s="1814"/>
      <c r="AO1042" s="1814"/>
      <c r="AP1042" s="1814"/>
      <c r="AQ1042" s="1815"/>
      <c r="AR1042" s="68"/>
      <c r="AS1042" s="68"/>
      <c r="AT1042" s="68"/>
      <c r="AU1042" s="68"/>
      <c r="AV1042" s="68"/>
      <c r="AW1042" s="68"/>
      <c r="AX1042" s="68"/>
      <c r="AY1042" s="68"/>
    </row>
    <row r="1043" spans="1:51" ht="12.95" customHeight="1">
      <c r="A1043" s="14"/>
      <c r="B1043" s="73"/>
      <c r="C1043" s="74"/>
      <c r="D1043" s="1783"/>
      <c r="E1043" s="1784"/>
      <c r="F1043" s="1784"/>
      <c r="G1043" s="1784"/>
      <c r="H1043" s="1784"/>
      <c r="I1043" s="1784"/>
      <c r="J1043" s="1784"/>
      <c r="K1043" s="1784"/>
      <c r="L1043" s="1784"/>
      <c r="M1043" s="1784"/>
      <c r="N1043" s="1784"/>
      <c r="O1043" s="1784"/>
      <c r="P1043" s="1784"/>
      <c r="Q1043" s="1784"/>
      <c r="R1043" s="1784"/>
      <c r="S1043" s="1784"/>
      <c r="T1043" s="1784"/>
      <c r="U1043" s="1784"/>
      <c r="V1043" s="1784"/>
      <c r="W1043" s="1784"/>
      <c r="X1043" s="1784"/>
      <c r="Y1043" s="1784"/>
      <c r="Z1043" s="1784"/>
      <c r="AA1043" s="1784"/>
      <c r="AB1043" s="1784"/>
      <c r="AC1043" s="1784"/>
      <c r="AD1043" s="1784"/>
      <c r="AE1043" s="1785"/>
      <c r="AF1043" s="73"/>
      <c r="AG1043" s="14"/>
      <c r="AH1043" s="14"/>
      <c r="AI1043" s="83"/>
      <c r="AJ1043" s="1816"/>
      <c r="AK1043" s="1817"/>
      <c r="AL1043" s="1817"/>
      <c r="AM1043" s="1817"/>
      <c r="AN1043" s="1817"/>
      <c r="AO1043" s="1817"/>
      <c r="AP1043" s="1817"/>
      <c r="AQ1043" s="1818"/>
      <c r="AR1043" s="68"/>
      <c r="AS1043" s="68"/>
      <c r="AT1043" s="68"/>
      <c r="AU1043" s="68"/>
      <c r="AV1043" s="68"/>
      <c r="AW1043" s="68"/>
      <c r="AX1043" s="68"/>
      <c r="AY1043" s="68"/>
    </row>
    <row r="1044" spans="1:51" ht="12.95" customHeight="1">
      <c r="A1044" s="14"/>
      <c r="B1044" s="79"/>
      <c r="C1044" s="131" t="s">
        <v>1874</v>
      </c>
      <c r="D1044" s="1759" t="s">
        <v>2056</v>
      </c>
      <c r="E1044" s="1760"/>
      <c r="F1044" s="1760"/>
      <c r="G1044" s="1760"/>
      <c r="H1044" s="1760"/>
      <c r="I1044" s="1760"/>
      <c r="J1044" s="1760"/>
      <c r="K1044" s="1760"/>
      <c r="L1044" s="1760"/>
      <c r="M1044" s="1760"/>
      <c r="N1044" s="1760"/>
      <c r="O1044" s="1760"/>
      <c r="P1044" s="1760"/>
      <c r="Q1044" s="1760"/>
      <c r="R1044" s="1760"/>
      <c r="S1044" s="1760"/>
      <c r="T1044" s="1760"/>
      <c r="U1044" s="1760"/>
      <c r="V1044" s="1760"/>
      <c r="W1044" s="1760"/>
      <c r="X1044" s="1760"/>
      <c r="Y1044" s="1760"/>
      <c r="Z1044" s="1760"/>
      <c r="AA1044" s="1760"/>
      <c r="AB1044" s="1760"/>
      <c r="AC1044" s="1760"/>
      <c r="AD1044" s="1760"/>
      <c r="AE1044" s="1761"/>
      <c r="AF1044" s="79"/>
      <c r="AG1044" s="1777" t="str">
        <f>IF(X1047&gt;0,"Yes","No")</f>
        <v>Yes</v>
      </c>
      <c r="AH1044" s="1778"/>
      <c r="AI1044" s="87"/>
      <c r="AJ1044" s="1810">
        <f>IF((X1047=0),0,AY1004*AJ991)</f>
        <v>29306166.139999997</v>
      </c>
      <c r="AK1044" s="1811"/>
      <c r="AL1044" s="1811"/>
      <c r="AM1044" s="1811"/>
      <c r="AN1044" s="1811"/>
      <c r="AO1044" s="1811"/>
      <c r="AP1044" s="1811"/>
      <c r="AQ1044" s="1812"/>
      <c r="AR1044" s="68"/>
      <c r="AS1044" s="68"/>
      <c r="AT1044" s="68"/>
      <c r="AU1044" s="68"/>
      <c r="AV1044" s="68"/>
      <c r="AW1044" s="68"/>
      <c r="AX1044" s="68"/>
      <c r="AY1044" s="68"/>
    </row>
    <row r="1045" spans="1:51" ht="12.95" customHeight="1">
      <c r="A1045" s="14"/>
      <c r="B1045" s="73"/>
      <c r="C1045" s="476"/>
      <c r="D1045" s="1770" t="s">
        <v>1410</v>
      </c>
      <c r="E1045" s="1771"/>
      <c r="F1045" s="1771"/>
      <c r="G1045" s="1771"/>
      <c r="H1045" s="1771"/>
      <c r="I1045" s="1771"/>
      <c r="J1045" s="1771"/>
      <c r="K1045" s="1771"/>
      <c r="L1045" s="1771"/>
      <c r="M1045" s="1771"/>
      <c r="N1045" s="1771"/>
      <c r="O1045" s="1771"/>
      <c r="P1045" s="1771"/>
      <c r="Q1045" s="1771"/>
      <c r="R1045" s="1771"/>
      <c r="S1045" s="1771"/>
      <c r="T1045" s="1771"/>
      <c r="U1045" s="1771"/>
      <c r="V1045" s="1771"/>
      <c r="W1045" s="1771"/>
      <c r="X1045" s="1771"/>
      <c r="Y1045" s="1771"/>
      <c r="Z1045" s="1771"/>
      <c r="AA1045" s="1771"/>
      <c r="AB1045" s="1771"/>
      <c r="AC1045" s="1771"/>
      <c r="AD1045" s="1771"/>
      <c r="AE1045" s="1772"/>
      <c r="AF1045" s="73"/>
      <c r="AG1045" s="477"/>
      <c r="AH1045" s="477"/>
      <c r="AI1045" s="83"/>
      <c r="AJ1045" s="1813"/>
      <c r="AK1045" s="1814"/>
      <c r="AL1045" s="1814"/>
      <c r="AM1045" s="1814"/>
      <c r="AN1045" s="1814"/>
      <c r="AO1045" s="1814"/>
      <c r="AP1045" s="1814"/>
      <c r="AQ1045" s="1815"/>
      <c r="AR1045" s="68"/>
      <c r="AS1045" s="68"/>
      <c r="AT1045" s="68"/>
      <c r="AU1045" s="13"/>
      <c r="AV1045" s="68"/>
      <c r="AW1045" s="68"/>
      <c r="AX1045" s="68"/>
      <c r="AY1045" s="68"/>
    </row>
    <row r="1046" spans="1:51" ht="12.95" customHeight="1">
      <c r="A1046" s="14"/>
      <c r="B1046" s="73"/>
      <c r="C1046" s="476"/>
      <c r="D1046" s="1770"/>
      <c r="E1046" s="1771"/>
      <c r="F1046" s="1771"/>
      <c r="G1046" s="1771"/>
      <c r="H1046" s="1771"/>
      <c r="I1046" s="1771"/>
      <c r="J1046" s="1771"/>
      <c r="K1046" s="1771"/>
      <c r="L1046" s="1771"/>
      <c r="M1046" s="1771"/>
      <c r="N1046" s="1771"/>
      <c r="O1046" s="1771"/>
      <c r="P1046" s="1771"/>
      <c r="Q1046" s="1771"/>
      <c r="R1046" s="1771"/>
      <c r="S1046" s="1771"/>
      <c r="T1046" s="1771"/>
      <c r="U1046" s="1771"/>
      <c r="V1046" s="1771"/>
      <c r="W1046" s="1771"/>
      <c r="X1046" s="1771"/>
      <c r="Y1046" s="1771"/>
      <c r="Z1046" s="1771"/>
      <c r="AA1046" s="1771"/>
      <c r="AB1046" s="1771"/>
      <c r="AC1046" s="1771"/>
      <c r="AD1046" s="1771"/>
      <c r="AE1046" s="1772"/>
      <c r="AF1046" s="73"/>
      <c r="AG1046" s="477"/>
      <c r="AH1046" s="477"/>
      <c r="AI1046" s="83"/>
      <c r="AJ1046" s="1813"/>
      <c r="AK1046" s="1814"/>
      <c r="AL1046" s="1814"/>
      <c r="AM1046" s="1814"/>
      <c r="AN1046" s="1814"/>
      <c r="AO1046" s="1814"/>
      <c r="AP1046" s="1814"/>
      <c r="AQ1046" s="1815"/>
      <c r="AR1046" s="68"/>
      <c r="AS1046" s="68"/>
      <c r="AT1046" s="68"/>
      <c r="AU1046" s="13"/>
      <c r="AV1046" s="68"/>
      <c r="AW1046" s="68"/>
      <c r="AX1046" s="68"/>
      <c r="AY1046" s="68"/>
    </row>
    <row r="1047" spans="1:51" ht="12.95" customHeight="1">
      <c r="A1047" s="14"/>
      <c r="B1047" s="77"/>
      <c r="C1047" s="78"/>
      <c r="D1047" s="132" t="s">
        <v>992</v>
      </c>
      <c r="E1047" s="133"/>
      <c r="F1047" s="133"/>
      <c r="G1047" s="133"/>
      <c r="H1047" s="133"/>
      <c r="I1047" s="1775">
        <f>AY1002</f>
        <v>145</v>
      </c>
      <c r="J1047" s="1776"/>
      <c r="K1047" s="7"/>
      <c r="L1047" s="133"/>
      <c r="M1047" s="133"/>
      <c r="N1047" s="133"/>
      <c r="O1047" s="133"/>
      <c r="P1047" s="133"/>
      <c r="Q1047" s="133"/>
      <c r="R1047" s="133"/>
      <c r="S1047" s="133"/>
      <c r="T1047" s="133"/>
      <c r="U1047" s="133"/>
      <c r="V1047" s="134" t="s">
        <v>993</v>
      </c>
      <c r="W1047" s="48"/>
      <c r="X1047" s="1773">
        <f>BG632</f>
        <v>60</v>
      </c>
      <c r="Y1047" s="1774"/>
      <c r="Z1047" s="48"/>
      <c r="AA1047" s="48"/>
      <c r="AB1047" s="48"/>
      <c r="AC1047" s="48"/>
      <c r="AD1047" s="48"/>
      <c r="AE1047" s="49"/>
      <c r="AF1047" s="959"/>
      <c r="AG1047" s="960"/>
      <c r="AH1047" s="960"/>
      <c r="AI1047" s="961"/>
      <c r="AJ1047" s="1816"/>
      <c r="AK1047" s="1817"/>
      <c r="AL1047" s="1817"/>
      <c r="AM1047" s="1817"/>
      <c r="AN1047" s="1817"/>
      <c r="AO1047" s="1817"/>
      <c r="AP1047" s="1817"/>
      <c r="AQ1047" s="1818"/>
      <c r="AR1047" s="68"/>
      <c r="AS1047" s="68"/>
      <c r="AT1047" s="68"/>
      <c r="AU1047" s="14"/>
      <c r="AV1047" s="68"/>
      <c r="AW1047" s="68"/>
      <c r="AX1047" s="68"/>
      <c r="AY1047" s="68"/>
    </row>
    <row r="1048" spans="1:51" ht="12.95" customHeight="1">
      <c r="A1048" s="14"/>
      <c r="B1048" s="79"/>
      <c r="C1048" s="131" t="s">
        <v>1875</v>
      </c>
      <c r="D1048" s="1767" t="s">
        <v>2533</v>
      </c>
      <c r="E1048" s="1768"/>
      <c r="F1048" s="1768"/>
      <c r="G1048" s="1768"/>
      <c r="H1048" s="1768"/>
      <c r="I1048" s="1768"/>
      <c r="J1048" s="1768"/>
      <c r="K1048" s="1768"/>
      <c r="L1048" s="1768"/>
      <c r="M1048" s="1768"/>
      <c r="N1048" s="1768"/>
      <c r="O1048" s="1768"/>
      <c r="P1048" s="1768"/>
      <c r="Q1048" s="1768"/>
      <c r="R1048" s="1768"/>
      <c r="S1048" s="1768"/>
      <c r="T1048" s="1768"/>
      <c r="U1048" s="1768"/>
      <c r="V1048" s="1768"/>
      <c r="W1048" s="1768"/>
      <c r="X1048" s="1768"/>
      <c r="Y1048" s="1768"/>
      <c r="Z1048" s="1768"/>
      <c r="AA1048" s="1768"/>
      <c r="AB1048" s="1768"/>
      <c r="AC1048" s="1768"/>
      <c r="AD1048" s="1768"/>
      <c r="AE1048" s="1769"/>
      <c r="AF1048" s="73"/>
      <c r="AG1048" s="1777" t="str">
        <f>IF(X1051&gt;0,"Yes","No")</f>
        <v>Yes</v>
      </c>
      <c r="AH1048" s="1778"/>
      <c r="AI1048" s="83"/>
      <c r="AJ1048" s="1810">
        <f>IF((X1051=0),0,(2*AY1005)*AJ991)</f>
        <v>37168796.079999998</v>
      </c>
      <c r="AK1048" s="1811"/>
      <c r="AL1048" s="1811"/>
      <c r="AM1048" s="1811"/>
      <c r="AN1048" s="1811"/>
      <c r="AO1048" s="1811"/>
      <c r="AP1048" s="1811"/>
      <c r="AQ1048" s="1812"/>
      <c r="AR1048" s="68"/>
      <c r="AS1048" s="68"/>
      <c r="AT1048" s="68"/>
      <c r="AU1048" s="14"/>
      <c r="AV1048" s="68"/>
      <c r="AW1048" s="68"/>
      <c r="AX1048" s="68"/>
      <c r="AY1048" s="68"/>
    </row>
    <row r="1049" spans="1:51" ht="12.95" customHeight="1">
      <c r="A1049" s="14"/>
      <c r="B1049" s="73"/>
      <c r="C1049" s="476"/>
      <c r="D1049" s="1770" t="s">
        <v>1409</v>
      </c>
      <c r="E1049" s="1771"/>
      <c r="F1049" s="1771"/>
      <c r="G1049" s="1771"/>
      <c r="H1049" s="1771"/>
      <c r="I1049" s="1771"/>
      <c r="J1049" s="1771"/>
      <c r="K1049" s="1771"/>
      <c r="L1049" s="1771"/>
      <c r="M1049" s="1771"/>
      <c r="N1049" s="1771"/>
      <c r="O1049" s="1771"/>
      <c r="P1049" s="1771"/>
      <c r="Q1049" s="1771"/>
      <c r="R1049" s="1771"/>
      <c r="S1049" s="1771"/>
      <c r="T1049" s="1771"/>
      <c r="U1049" s="1771"/>
      <c r="V1049" s="1771"/>
      <c r="W1049" s="1771"/>
      <c r="X1049" s="1771"/>
      <c r="Y1049" s="1771"/>
      <c r="Z1049" s="1771"/>
      <c r="AA1049" s="1771"/>
      <c r="AB1049" s="1771"/>
      <c r="AC1049" s="1771"/>
      <c r="AD1049" s="1771"/>
      <c r="AE1049" s="1772"/>
      <c r="AF1049" s="73"/>
      <c r="AG1049" s="477"/>
      <c r="AH1049" s="477"/>
      <c r="AI1049" s="83"/>
      <c r="AJ1049" s="1813"/>
      <c r="AK1049" s="1814"/>
      <c r="AL1049" s="1814"/>
      <c r="AM1049" s="1814"/>
      <c r="AN1049" s="1814"/>
      <c r="AO1049" s="1814"/>
      <c r="AP1049" s="1814"/>
      <c r="AQ1049" s="1815"/>
      <c r="AR1049" s="68"/>
      <c r="AS1049" s="68"/>
      <c r="AT1049" s="68"/>
      <c r="AU1049" s="68"/>
      <c r="AV1049" s="68"/>
      <c r="AW1049" s="68"/>
      <c r="AX1049" s="68"/>
      <c r="AY1049" s="68"/>
    </row>
    <row r="1050" spans="1:51" ht="12.95" customHeight="1">
      <c r="A1050" s="14"/>
      <c r="B1050" s="73"/>
      <c r="C1050" s="83"/>
      <c r="D1050" s="1770"/>
      <c r="E1050" s="1771"/>
      <c r="F1050" s="1771"/>
      <c r="G1050" s="1771"/>
      <c r="H1050" s="1771"/>
      <c r="I1050" s="1771"/>
      <c r="J1050" s="1771"/>
      <c r="K1050" s="1771"/>
      <c r="L1050" s="1771"/>
      <c r="M1050" s="1771"/>
      <c r="N1050" s="1771"/>
      <c r="O1050" s="1771"/>
      <c r="P1050" s="1771"/>
      <c r="Q1050" s="1771"/>
      <c r="R1050" s="1771"/>
      <c r="S1050" s="1771"/>
      <c r="T1050" s="1771"/>
      <c r="U1050" s="1771"/>
      <c r="V1050" s="1771"/>
      <c r="W1050" s="1771"/>
      <c r="X1050" s="1771"/>
      <c r="Y1050" s="1771"/>
      <c r="Z1050" s="1771"/>
      <c r="AA1050" s="1771"/>
      <c r="AB1050" s="1771"/>
      <c r="AC1050" s="1771"/>
      <c r="AD1050" s="1771"/>
      <c r="AE1050" s="1772"/>
      <c r="AF1050" s="956"/>
      <c r="AG1050" s="957"/>
      <c r="AH1050" s="957"/>
      <c r="AI1050" s="958"/>
      <c r="AJ1050" s="1813"/>
      <c r="AK1050" s="1814"/>
      <c r="AL1050" s="1814"/>
      <c r="AM1050" s="1814"/>
      <c r="AN1050" s="1814"/>
      <c r="AO1050" s="1814"/>
      <c r="AP1050" s="1814"/>
      <c r="AQ1050" s="1815"/>
      <c r="AR1050" s="68"/>
      <c r="AS1050" s="68"/>
      <c r="AT1050" s="68"/>
      <c r="AU1050" s="68"/>
      <c r="AV1050" s="68"/>
      <c r="AW1050" s="68"/>
      <c r="AX1050" s="68"/>
      <c r="AY1050" s="68"/>
    </row>
    <row r="1051" spans="1:51" ht="12.95" customHeight="1">
      <c r="A1051" s="14"/>
      <c r="B1051" s="77"/>
      <c r="C1051" s="78"/>
      <c r="D1051" s="132" t="s">
        <v>992</v>
      </c>
      <c r="E1051" s="133"/>
      <c r="F1051" s="133"/>
      <c r="G1051" s="133"/>
      <c r="H1051" s="133"/>
      <c r="I1051" s="1775">
        <f>AY1002</f>
        <v>145</v>
      </c>
      <c r="J1051" s="1776"/>
      <c r="K1051" s="14"/>
      <c r="L1051" s="133"/>
      <c r="M1051" s="133"/>
      <c r="N1051" s="133"/>
      <c r="O1051" s="133"/>
      <c r="P1051" s="133"/>
      <c r="Q1051" s="133"/>
      <c r="R1051" s="133"/>
      <c r="S1051" s="133"/>
      <c r="T1051" s="133"/>
      <c r="U1051" s="133"/>
      <c r="V1051" s="134" t="s">
        <v>994</v>
      </c>
      <c r="X1051" s="1773">
        <f>BK632</f>
        <v>38</v>
      </c>
      <c r="Y1051" s="1774"/>
      <c r="AF1051" s="959"/>
      <c r="AG1051" s="960"/>
      <c r="AH1051" s="960"/>
      <c r="AI1051" s="961"/>
      <c r="AJ1051" s="1816"/>
      <c r="AK1051" s="1817"/>
      <c r="AL1051" s="1817"/>
      <c r="AM1051" s="1817"/>
      <c r="AN1051" s="1817"/>
      <c r="AO1051" s="1817"/>
      <c r="AP1051" s="1817"/>
      <c r="AQ1051" s="1818"/>
      <c r="AR1051" s="68"/>
      <c r="AS1051" s="68"/>
      <c r="AT1051" s="68"/>
      <c r="AU1051" s="68"/>
      <c r="AV1051" s="68"/>
      <c r="AW1051" s="68"/>
      <c r="AX1051" s="68"/>
      <c r="AY1051" s="68"/>
    </row>
    <row r="1052" spans="1:51" ht="12.95" customHeight="1">
      <c r="A1052" s="14"/>
      <c r="B1052" s="102"/>
      <c r="C1052" s="103"/>
      <c r="D1052" s="1765" t="s">
        <v>522</v>
      </c>
      <c r="E1052" s="1765"/>
      <c r="F1052" s="1765"/>
      <c r="G1052" s="1765"/>
      <c r="H1052" s="1765"/>
      <c r="I1052" s="1765"/>
      <c r="J1052" s="1765"/>
      <c r="K1052" s="1765"/>
      <c r="L1052" s="1765"/>
      <c r="M1052" s="1765"/>
      <c r="N1052" s="1765"/>
      <c r="O1052" s="1765"/>
      <c r="P1052" s="1765"/>
      <c r="Q1052" s="1765"/>
      <c r="R1052" s="1765"/>
      <c r="S1052" s="1765"/>
      <c r="T1052" s="1765"/>
      <c r="U1052" s="1765"/>
      <c r="V1052" s="1765"/>
      <c r="W1052" s="1765"/>
      <c r="X1052" s="1765"/>
      <c r="Y1052" s="1765"/>
      <c r="Z1052" s="1765"/>
      <c r="AA1052" s="1765"/>
      <c r="AB1052" s="1765"/>
      <c r="AC1052" s="1765"/>
      <c r="AD1052" s="1765"/>
      <c r="AE1052" s="1765"/>
      <c r="AF1052" s="1765"/>
      <c r="AG1052" s="1765"/>
      <c r="AH1052" s="1765"/>
      <c r="AI1052" s="1766"/>
      <c r="AJ1052" s="1819">
        <f>SUM(AJ991:AQ1051)</f>
        <v>167261286.22</v>
      </c>
      <c r="AK1052" s="1820"/>
      <c r="AL1052" s="1820"/>
      <c r="AM1052" s="1820"/>
      <c r="AN1052" s="1820"/>
      <c r="AO1052" s="1820"/>
      <c r="AP1052" s="1820"/>
      <c r="AQ1052" s="1821"/>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77">
        <f>IF(ISNA(IF((AJ1019&gt;(AJ991*0.15)),"(f) cannot be greater than 15% of unadjusted eligible basis.",0)),"",(IF((AJ1019&gt;(AJ991*0.15)),"(f) cannot be greater than 15% of unadjusted eligible basis.",0)))</f>
        <v>0</v>
      </c>
      <c r="C1059" s="1877"/>
      <c r="D1059" s="1877"/>
      <c r="E1059" s="1877"/>
      <c r="F1059" s="1877"/>
      <c r="G1059" s="1877"/>
      <c r="H1059" s="1877"/>
      <c r="I1059" s="1877"/>
      <c r="J1059" s="1877"/>
      <c r="K1059" s="1877"/>
      <c r="L1059" s="1877"/>
      <c r="M1059" s="1877"/>
      <c r="N1059" s="1877"/>
      <c r="O1059" s="1877"/>
      <c r="P1059" s="1877"/>
      <c r="Q1059" s="1877"/>
      <c r="R1059" s="1877"/>
      <c r="S1059" s="1877"/>
      <c r="T1059" s="1877"/>
      <c r="U1059" s="1877"/>
      <c r="V1059" s="1877"/>
      <c r="W1059" s="1877"/>
      <c r="X1059" s="1877"/>
      <c r="Y1059" s="1877"/>
      <c r="Z1059" s="1877"/>
      <c r="AA1059" s="1877"/>
      <c r="AB1059" s="1877"/>
      <c r="AC1059" s="1877"/>
      <c r="AD1059" s="1877"/>
      <c r="AE1059" s="1877"/>
      <c r="AF1059" s="1877"/>
      <c r="AG1059" s="1877"/>
      <c r="AH1059" s="1877"/>
      <c r="AI1059" s="1877"/>
      <c r="AJ1059" s="1877"/>
      <c r="AK1059" s="1877"/>
      <c r="AL1059" s="1877"/>
      <c r="AM1059" s="1877"/>
      <c r="AN1059" s="1877"/>
      <c r="AO1059" s="1877"/>
      <c r="AP1059" s="1877"/>
      <c r="AQ1059" s="68"/>
      <c r="AR1059" s="68"/>
      <c r="AS1059" s="68"/>
      <c r="AT1059" s="68"/>
      <c r="AU1059" s="68"/>
      <c r="AV1059" s="68"/>
      <c r="AW1059" s="68"/>
      <c r="AX1059" s="68"/>
      <c r="AY1059" s="68"/>
    </row>
    <row r="1060" spans="1:51" ht="12.95" customHeight="1">
      <c r="A1060" s="1312" t="s">
        <v>804</v>
      </c>
      <c r="B1060" s="1312"/>
      <c r="C1060" s="1312"/>
      <c r="D1060" s="1312"/>
      <c r="E1060" s="1312"/>
      <c r="F1060" s="1312"/>
      <c r="G1060" s="1312"/>
      <c r="H1060" s="1312"/>
      <c r="I1060" s="1312"/>
      <c r="J1060" s="1312"/>
      <c r="K1060" s="1312"/>
      <c r="L1060" s="1312"/>
      <c r="M1060" s="1312"/>
      <c r="N1060" s="1312"/>
      <c r="O1060" s="1312"/>
      <c r="P1060" s="1312"/>
      <c r="Q1060" s="1312"/>
      <c r="R1060" s="1312"/>
      <c r="S1060" s="1312"/>
      <c r="T1060" s="1312"/>
      <c r="U1060" s="1312"/>
      <c r="V1060" s="1312"/>
      <c r="W1060" s="1312"/>
      <c r="X1060" s="1312"/>
      <c r="Y1060" s="1312"/>
      <c r="Z1060" s="1312"/>
      <c r="AA1060" s="1312"/>
      <c r="AB1060" s="1312"/>
      <c r="AC1060" s="1312"/>
      <c r="AD1060" s="1312"/>
      <c r="AE1060" s="1312"/>
      <c r="AF1060" s="1312"/>
      <c r="AG1060" s="1312"/>
      <c r="AH1060" s="1312"/>
      <c r="AI1060" s="1312"/>
      <c r="AJ1060" s="1312"/>
      <c r="AK1060" s="1312"/>
      <c r="AL1060" s="1312"/>
      <c r="AM1060" s="1312"/>
      <c r="AN1060" s="1312"/>
      <c r="AO1060" s="1312"/>
      <c r="AP1060" s="1312"/>
      <c r="AQ1060" s="1312"/>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494" t="s">
        <v>600</v>
      </c>
      <c r="B1064" s="1494"/>
      <c r="C1064" s="8">
        <v>1</v>
      </c>
      <c r="D1064" s="1272" t="s">
        <v>1134</v>
      </c>
      <c r="E1064" s="1272"/>
      <c r="F1064" s="1272"/>
      <c r="G1064" s="1272"/>
      <c r="H1064" s="1272"/>
      <c r="I1064" s="1272"/>
      <c r="J1064" s="1272"/>
      <c r="K1064" s="1272"/>
      <c r="L1064" s="1272"/>
      <c r="M1064" s="1272"/>
      <c r="N1064" s="1272"/>
      <c r="O1064" s="1272"/>
      <c r="P1064" s="1272"/>
      <c r="Q1064" s="1272"/>
      <c r="R1064" s="1272"/>
      <c r="S1064" s="1272"/>
      <c r="T1064" s="1272"/>
      <c r="U1064" s="1272"/>
      <c r="V1064" s="1272"/>
      <c r="W1064" s="1272"/>
      <c r="X1064" s="1272"/>
      <c r="Y1064" s="1272"/>
      <c r="Z1064" s="1272"/>
      <c r="AA1064" s="1272"/>
      <c r="AB1064" s="1272"/>
      <c r="AC1064" s="1272"/>
      <c r="AD1064" s="1272"/>
      <c r="AE1064" s="1272"/>
      <c r="AF1064" s="1272"/>
      <c r="AG1064" s="1272"/>
      <c r="AH1064" s="1272"/>
      <c r="AI1064" s="1272"/>
      <c r="AJ1064" s="1272"/>
      <c r="AK1064" s="1272"/>
      <c r="AL1064" s="68"/>
      <c r="AM1064" s="68"/>
      <c r="AN1064" s="68"/>
      <c r="AO1064" s="68"/>
      <c r="AP1064" s="68"/>
      <c r="AQ1064" s="68"/>
      <c r="AR1064" s="68"/>
      <c r="AS1064" s="68"/>
      <c r="AT1064" s="68"/>
      <c r="AV1064" s="68"/>
      <c r="AW1064" s="68"/>
      <c r="AX1064" s="68"/>
      <c r="AY1064" s="68"/>
    </row>
    <row r="1065" spans="1:51" ht="12.95" customHeight="1">
      <c r="A1065" s="1"/>
      <c r="B1065" s="1"/>
      <c r="C1065" s="8"/>
      <c r="D1065" s="1272"/>
      <c r="E1065" s="1272"/>
      <c r="F1065" s="1272"/>
      <c r="G1065" s="1272"/>
      <c r="H1065" s="1272"/>
      <c r="I1065" s="1272"/>
      <c r="J1065" s="1272"/>
      <c r="K1065" s="1272"/>
      <c r="L1065" s="1272"/>
      <c r="M1065" s="1272"/>
      <c r="N1065" s="1272"/>
      <c r="O1065" s="1272"/>
      <c r="P1065" s="1272"/>
      <c r="Q1065" s="1272"/>
      <c r="R1065" s="1272"/>
      <c r="S1065" s="1272"/>
      <c r="T1065" s="1272"/>
      <c r="U1065" s="1272"/>
      <c r="V1065" s="1272"/>
      <c r="W1065" s="1272"/>
      <c r="X1065" s="1272"/>
      <c r="Y1065" s="1272"/>
      <c r="Z1065" s="1272"/>
      <c r="AA1065" s="1272"/>
      <c r="AB1065" s="1272"/>
      <c r="AC1065" s="1272"/>
      <c r="AD1065" s="1272"/>
      <c r="AE1065" s="1272"/>
      <c r="AF1065" s="1272"/>
      <c r="AG1065" s="1272"/>
      <c r="AH1065" s="1272"/>
      <c r="AI1065" s="1272"/>
      <c r="AJ1065" s="1272"/>
      <c r="AK1065" s="1272"/>
      <c r="AL1065" s="68"/>
      <c r="AM1065" s="68"/>
      <c r="AN1065" s="68"/>
      <c r="AO1065" s="68"/>
      <c r="AP1065" s="68"/>
      <c r="AQ1065" s="68"/>
      <c r="AR1065" s="68"/>
      <c r="AS1065" s="68"/>
      <c r="AT1065" s="68"/>
      <c r="AV1065" s="68"/>
      <c r="AW1065" s="68"/>
      <c r="AX1065" s="68"/>
      <c r="AY1065" s="68"/>
    </row>
    <row r="1066" spans="1:51" ht="12.95" customHeight="1">
      <c r="A1066" s="1"/>
      <c r="B1066" s="1"/>
      <c r="C1066" s="8"/>
      <c r="D1066" s="1272"/>
      <c r="E1066" s="1272"/>
      <c r="F1066" s="1272"/>
      <c r="G1066" s="1272"/>
      <c r="H1066" s="1272"/>
      <c r="I1066" s="1272"/>
      <c r="J1066" s="1272"/>
      <c r="K1066" s="1272"/>
      <c r="L1066" s="1272"/>
      <c r="M1066" s="1272"/>
      <c r="N1066" s="1272"/>
      <c r="O1066" s="1272"/>
      <c r="P1066" s="1272"/>
      <c r="Q1066" s="1272"/>
      <c r="R1066" s="1272"/>
      <c r="S1066" s="1272"/>
      <c r="T1066" s="1272"/>
      <c r="U1066" s="1272"/>
      <c r="V1066" s="1272"/>
      <c r="W1066" s="1272"/>
      <c r="X1066" s="1272"/>
      <c r="Y1066" s="1272"/>
      <c r="Z1066" s="1272"/>
      <c r="AA1066" s="1272"/>
      <c r="AB1066" s="1272"/>
      <c r="AC1066" s="1272"/>
      <c r="AD1066" s="1272"/>
      <c r="AE1066" s="1272"/>
      <c r="AF1066" s="1272"/>
      <c r="AG1066" s="1272"/>
      <c r="AH1066" s="1272"/>
      <c r="AI1066" s="1272"/>
      <c r="AJ1066" s="1272"/>
      <c r="AK1066" s="1272"/>
      <c r="AL1066" s="68"/>
      <c r="AM1066" s="68"/>
      <c r="AN1066" s="68"/>
      <c r="AO1066" s="68"/>
      <c r="AP1066" s="68"/>
      <c r="AQ1066" s="68"/>
      <c r="AR1066" s="68"/>
      <c r="AS1066" s="68"/>
      <c r="AT1066" s="68"/>
      <c r="AV1066" s="68"/>
      <c r="AW1066" s="68"/>
      <c r="AX1066" s="68"/>
      <c r="AY1066" s="68"/>
    </row>
    <row r="1067" spans="1:51" ht="12.95" customHeight="1">
      <c r="A1067" s="1"/>
      <c r="B1067" s="1"/>
      <c r="C1067" s="8"/>
      <c r="D1067" s="1272"/>
      <c r="E1067" s="1272"/>
      <c r="F1067" s="1272"/>
      <c r="G1067" s="1272"/>
      <c r="H1067" s="1272"/>
      <c r="I1067" s="1272"/>
      <c r="J1067" s="1272"/>
      <c r="K1067" s="1272"/>
      <c r="L1067" s="1272"/>
      <c r="M1067" s="1272"/>
      <c r="N1067" s="1272"/>
      <c r="O1067" s="1272"/>
      <c r="P1067" s="1272"/>
      <c r="Q1067" s="1272"/>
      <c r="R1067" s="1272"/>
      <c r="S1067" s="1272"/>
      <c r="T1067" s="1272"/>
      <c r="U1067" s="1272"/>
      <c r="V1067" s="1272"/>
      <c r="W1067" s="1272"/>
      <c r="X1067" s="1272"/>
      <c r="Y1067" s="1272"/>
      <c r="Z1067" s="1272"/>
      <c r="AA1067" s="1272"/>
      <c r="AB1067" s="1272"/>
      <c r="AC1067" s="1272"/>
      <c r="AD1067" s="1272"/>
      <c r="AE1067" s="1272"/>
      <c r="AF1067" s="1272"/>
      <c r="AG1067" s="1272"/>
      <c r="AH1067" s="1272"/>
      <c r="AI1067" s="1272"/>
      <c r="AJ1067" s="1272"/>
      <c r="AK1067" s="1272"/>
      <c r="AL1067" s="68"/>
      <c r="AM1067" s="68"/>
      <c r="AN1067" s="68"/>
      <c r="AO1067" s="68"/>
      <c r="AP1067" s="68"/>
      <c r="AQ1067" s="68"/>
      <c r="AR1067" s="68"/>
      <c r="AS1067" s="68"/>
      <c r="AT1067" s="68"/>
      <c r="AV1067" s="68"/>
      <c r="AW1067" s="68"/>
      <c r="AX1067" s="68"/>
      <c r="AY1067" s="68"/>
    </row>
    <row r="1068" spans="1:51" ht="12.95" customHeight="1">
      <c r="A1068" s="1"/>
      <c r="B1068" s="1"/>
      <c r="C1068" s="8"/>
      <c r="D1068" s="1272"/>
      <c r="E1068" s="1272"/>
      <c r="F1068" s="1272"/>
      <c r="G1068" s="1272"/>
      <c r="H1068" s="1272"/>
      <c r="I1068" s="1272"/>
      <c r="J1068" s="1272"/>
      <c r="K1068" s="1272"/>
      <c r="L1068" s="1272"/>
      <c r="M1068" s="1272"/>
      <c r="N1068" s="1272"/>
      <c r="O1068" s="1272"/>
      <c r="P1068" s="1272"/>
      <c r="Q1068" s="1272"/>
      <c r="R1068" s="1272"/>
      <c r="S1068" s="1272"/>
      <c r="T1068" s="1272"/>
      <c r="U1068" s="1272"/>
      <c r="V1068" s="1272"/>
      <c r="W1068" s="1272"/>
      <c r="X1068" s="1272"/>
      <c r="Y1068" s="1272"/>
      <c r="Z1068" s="1272"/>
      <c r="AA1068" s="1272"/>
      <c r="AB1068" s="1272"/>
      <c r="AC1068" s="1272"/>
      <c r="AD1068" s="1272"/>
      <c r="AE1068" s="1272"/>
      <c r="AF1068" s="1272"/>
      <c r="AG1068" s="1272"/>
      <c r="AH1068" s="1272"/>
      <c r="AI1068" s="1272"/>
      <c r="AJ1068" s="1272"/>
      <c r="AK1068" s="1272"/>
      <c r="AL1068" s="68"/>
      <c r="AM1068" s="68"/>
      <c r="AN1068" s="68"/>
      <c r="AO1068" s="68"/>
      <c r="AP1068" s="68"/>
      <c r="AQ1068" s="68"/>
      <c r="AR1068" s="68"/>
      <c r="AS1068" s="68"/>
      <c r="AT1068" s="68"/>
      <c r="AV1068" s="68"/>
      <c r="AW1068" s="68"/>
      <c r="AX1068" s="68"/>
      <c r="AY1068" s="68"/>
    </row>
    <row r="1069" spans="1:51" ht="12.95" customHeight="1">
      <c r="A1069" s="2"/>
      <c r="B1069" s="25"/>
      <c r="C1069" s="8"/>
      <c r="D1069" s="1272"/>
      <c r="E1069" s="1272"/>
      <c r="F1069" s="1272"/>
      <c r="G1069" s="1272"/>
      <c r="H1069" s="1272"/>
      <c r="I1069" s="1272"/>
      <c r="J1069" s="1272"/>
      <c r="K1069" s="1272"/>
      <c r="L1069" s="1272"/>
      <c r="M1069" s="1272"/>
      <c r="N1069" s="1272"/>
      <c r="O1069" s="1272"/>
      <c r="P1069" s="1272"/>
      <c r="Q1069" s="1272"/>
      <c r="R1069" s="1272"/>
      <c r="S1069" s="1272"/>
      <c r="T1069" s="1272"/>
      <c r="U1069" s="1272"/>
      <c r="V1069" s="1272"/>
      <c r="W1069" s="1272"/>
      <c r="X1069" s="1272"/>
      <c r="Y1069" s="1272"/>
      <c r="Z1069" s="1272"/>
      <c r="AA1069" s="1272"/>
      <c r="AB1069" s="1272"/>
      <c r="AC1069" s="1272"/>
      <c r="AD1069" s="1272"/>
      <c r="AE1069" s="1272"/>
      <c r="AF1069" s="1272"/>
      <c r="AG1069" s="1272"/>
      <c r="AH1069" s="1272"/>
      <c r="AI1069" s="1272"/>
      <c r="AJ1069" s="1272"/>
      <c r="AK1069" s="1272"/>
      <c r="AL1069" s="68"/>
      <c r="AM1069" s="68"/>
      <c r="AN1069" s="68"/>
      <c r="AO1069" s="68"/>
      <c r="AP1069" s="68"/>
      <c r="AQ1069" s="68"/>
      <c r="AR1069" s="68"/>
      <c r="AS1069" s="68"/>
      <c r="AT1069" s="68"/>
      <c r="AV1069" s="68"/>
      <c r="AW1069" s="68"/>
      <c r="AX1069" s="68"/>
      <c r="AY1069" s="68"/>
    </row>
    <row r="1070" spans="1:51" ht="12.95" customHeight="1">
      <c r="A1070" s="1494" t="s">
        <v>600</v>
      </c>
      <c r="B1070" s="1494"/>
      <c r="C1070" s="8">
        <v>2</v>
      </c>
      <c r="D1070" s="1272" t="s">
        <v>1133</v>
      </c>
      <c r="E1070" s="1272"/>
      <c r="F1070" s="1272"/>
      <c r="G1070" s="1272"/>
      <c r="H1070" s="1272"/>
      <c r="I1070" s="1272"/>
      <c r="J1070" s="1272"/>
      <c r="K1070" s="1272"/>
      <c r="L1070" s="1272"/>
      <c r="M1070" s="1272"/>
      <c r="N1070" s="1272"/>
      <c r="O1070" s="1272"/>
      <c r="P1070" s="1272"/>
      <c r="Q1070" s="1272"/>
      <c r="R1070" s="1272"/>
      <c r="S1070" s="1272"/>
      <c r="T1070" s="1272"/>
      <c r="U1070" s="1272"/>
      <c r="V1070" s="1272"/>
      <c r="W1070" s="1272"/>
      <c r="X1070" s="1272"/>
      <c r="Y1070" s="1272"/>
      <c r="Z1070" s="1272"/>
      <c r="AA1070" s="1272"/>
      <c r="AB1070" s="1272"/>
      <c r="AC1070" s="1272"/>
      <c r="AD1070" s="1272"/>
      <c r="AE1070" s="1272"/>
      <c r="AF1070" s="1272"/>
      <c r="AG1070" s="1272"/>
      <c r="AH1070" s="1272"/>
      <c r="AI1070" s="1272"/>
      <c r="AJ1070" s="1272"/>
      <c r="AK1070" s="1272"/>
      <c r="AL1070" s="68"/>
      <c r="AM1070" s="68"/>
      <c r="AN1070" s="68"/>
      <c r="AO1070" s="68"/>
      <c r="AP1070" s="68"/>
      <c r="AQ1070" s="68"/>
      <c r="AR1070" s="68"/>
      <c r="AS1070" s="68"/>
      <c r="AT1070" s="68"/>
    </row>
    <row r="1071" spans="1:51" ht="12.95" customHeight="1">
      <c r="A1071" s="1"/>
      <c r="B1071" s="1"/>
      <c r="C1071" s="8"/>
      <c r="D1071" s="1272"/>
      <c r="E1071" s="1272"/>
      <c r="F1071" s="1272"/>
      <c r="G1071" s="1272"/>
      <c r="H1071" s="1272"/>
      <c r="I1071" s="1272"/>
      <c r="J1071" s="1272"/>
      <c r="K1071" s="1272"/>
      <c r="L1071" s="1272"/>
      <c r="M1071" s="1272"/>
      <c r="N1071" s="1272"/>
      <c r="O1071" s="1272"/>
      <c r="P1071" s="1272"/>
      <c r="Q1071" s="1272"/>
      <c r="R1071" s="1272"/>
      <c r="S1071" s="1272"/>
      <c r="T1071" s="1272"/>
      <c r="U1071" s="1272"/>
      <c r="V1071" s="1272"/>
      <c r="W1071" s="1272"/>
      <c r="X1071" s="1272"/>
      <c r="Y1071" s="1272"/>
      <c r="Z1071" s="1272"/>
      <c r="AA1071" s="1272"/>
      <c r="AB1071" s="1272"/>
      <c r="AC1071" s="1272"/>
      <c r="AD1071" s="1272"/>
      <c r="AE1071" s="1272"/>
      <c r="AF1071" s="1272"/>
      <c r="AG1071" s="1272"/>
      <c r="AH1071" s="1272"/>
      <c r="AI1071" s="1272"/>
      <c r="AJ1071" s="1272"/>
      <c r="AK1071" s="1272"/>
      <c r="AL1071" s="68"/>
      <c r="AM1071" s="68"/>
      <c r="AN1071" s="68"/>
      <c r="AO1071" s="68"/>
      <c r="AP1071" s="68"/>
      <c r="AQ1071" s="68"/>
      <c r="AR1071" s="68"/>
      <c r="AS1071" s="68"/>
      <c r="AT1071" s="68"/>
    </row>
    <row r="1072" spans="1:51" ht="12.95" customHeight="1">
      <c r="A1072" s="1"/>
      <c r="B1072" s="1"/>
      <c r="C1072" s="8"/>
      <c r="D1072" s="1272"/>
      <c r="E1072" s="1272"/>
      <c r="F1072" s="1272"/>
      <c r="G1072" s="1272"/>
      <c r="H1072" s="1272"/>
      <c r="I1072" s="1272"/>
      <c r="J1072" s="1272"/>
      <c r="K1072" s="1272"/>
      <c r="L1072" s="1272"/>
      <c r="M1072" s="1272"/>
      <c r="N1072" s="1272"/>
      <c r="O1072" s="1272"/>
      <c r="P1072" s="1272"/>
      <c r="Q1072" s="1272"/>
      <c r="R1072" s="1272"/>
      <c r="S1072" s="1272"/>
      <c r="T1072" s="1272"/>
      <c r="U1072" s="1272"/>
      <c r="V1072" s="1272"/>
      <c r="W1072" s="1272"/>
      <c r="X1072" s="1272"/>
      <c r="Y1072" s="1272"/>
      <c r="Z1072" s="1272"/>
      <c r="AA1072" s="1272"/>
      <c r="AB1072" s="1272"/>
      <c r="AC1072" s="1272"/>
      <c r="AD1072" s="1272"/>
      <c r="AE1072" s="1272"/>
      <c r="AF1072" s="1272"/>
      <c r="AG1072" s="1272"/>
      <c r="AH1072" s="1272"/>
      <c r="AI1072" s="1272"/>
      <c r="AJ1072" s="1272"/>
      <c r="AK1072" s="1272"/>
      <c r="AL1072" s="68"/>
      <c r="AM1072" s="68"/>
      <c r="AN1072" s="68"/>
      <c r="AO1072" s="68"/>
      <c r="AP1072" s="68"/>
      <c r="AQ1072" s="68"/>
      <c r="AR1072" s="68"/>
      <c r="AS1072" s="68"/>
      <c r="AT1072" s="68"/>
    </row>
    <row r="1073" spans="1:46" ht="12.95" customHeight="1">
      <c r="A1073" s="1"/>
      <c r="B1073" s="1"/>
      <c r="C1073" s="8"/>
      <c r="D1073" s="1272"/>
      <c r="E1073" s="1272"/>
      <c r="F1073" s="1272"/>
      <c r="G1073" s="1272"/>
      <c r="H1073" s="1272"/>
      <c r="I1073" s="1272"/>
      <c r="J1073" s="1272"/>
      <c r="K1073" s="1272"/>
      <c r="L1073" s="1272"/>
      <c r="M1073" s="1272"/>
      <c r="N1073" s="1272"/>
      <c r="O1073" s="1272"/>
      <c r="P1073" s="1272"/>
      <c r="Q1073" s="1272"/>
      <c r="R1073" s="1272"/>
      <c r="S1073" s="1272"/>
      <c r="T1073" s="1272"/>
      <c r="U1073" s="1272"/>
      <c r="V1073" s="1272"/>
      <c r="W1073" s="1272"/>
      <c r="X1073" s="1272"/>
      <c r="Y1073" s="1272"/>
      <c r="Z1073" s="1272"/>
      <c r="AA1073" s="1272"/>
      <c r="AB1073" s="1272"/>
      <c r="AC1073" s="1272"/>
      <c r="AD1073" s="1272"/>
      <c r="AE1073" s="1272"/>
      <c r="AF1073" s="1272"/>
      <c r="AG1073" s="1272"/>
      <c r="AH1073" s="1272"/>
      <c r="AI1073" s="1272"/>
      <c r="AJ1073" s="1272"/>
      <c r="AK1073" s="1272"/>
      <c r="AL1073" s="68"/>
      <c r="AM1073" s="68"/>
      <c r="AN1073" s="68"/>
      <c r="AO1073" s="68"/>
      <c r="AP1073" s="68"/>
      <c r="AQ1073" s="68"/>
      <c r="AR1073" s="68"/>
      <c r="AS1073" s="68"/>
      <c r="AT1073" s="68"/>
    </row>
    <row r="1074" spans="1:46" ht="12.95" hidden="1" customHeight="1">
      <c r="A1074" s="1"/>
      <c r="B1074" s="1"/>
      <c r="C1074" s="8"/>
      <c r="D1074" s="1272"/>
      <c r="E1074" s="1272"/>
      <c r="F1074" s="1272"/>
      <c r="G1074" s="1272"/>
      <c r="H1074" s="1272"/>
      <c r="I1074" s="1272"/>
      <c r="J1074" s="1272"/>
      <c r="K1074" s="1272"/>
      <c r="L1074" s="1272"/>
      <c r="M1074" s="1272"/>
      <c r="N1074" s="1272"/>
      <c r="O1074" s="1272"/>
      <c r="P1074" s="1272"/>
      <c r="Q1074" s="1272"/>
      <c r="R1074" s="1272"/>
      <c r="S1074" s="1272"/>
      <c r="T1074" s="1272"/>
      <c r="U1074" s="1272"/>
      <c r="V1074" s="1272"/>
      <c r="W1074" s="1272"/>
      <c r="X1074" s="1272"/>
      <c r="Y1074" s="1272"/>
      <c r="Z1074" s="1272"/>
      <c r="AA1074" s="1272"/>
      <c r="AB1074" s="1272"/>
      <c r="AC1074" s="1272"/>
      <c r="AD1074" s="1272"/>
      <c r="AE1074" s="1272"/>
      <c r="AF1074" s="1272"/>
      <c r="AG1074" s="1272"/>
      <c r="AH1074" s="1272"/>
      <c r="AI1074" s="1272"/>
      <c r="AJ1074" s="1272"/>
      <c r="AK1074" s="1272"/>
      <c r="AL1074" s="68"/>
      <c r="AM1074" s="68"/>
      <c r="AN1074" s="68"/>
      <c r="AO1074" s="68"/>
      <c r="AP1074" s="68"/>
      <c r="AQ1074" s="68"/>
      <c r="AR1074" s="68"/>
      <c r="AS1074" s="68"/>
      <c r="AT1074" s="68"/>
    </row>
    <row r="1075" spans="1:46" ht="12.95" customHeight="1">
      <c r="A1075" s="1"/>
      <c r="B1075" s="1"/>
      <c r="C1075" s="8"/>
      <c r="D1075" s="1272"/>
      <c r="E1075" s="1272"/>
      <c r="F1075" s="1272"/>
      <c r="G1075" s="1272"/>
      <c r="H1075" s="1272"/>
      <c r="I1075" s="1272"/>
      <c r="J1075" s="1272"/>
      <c r="K1075" s="1272"/>
      <c r="L1075" s="1272"/>
      <c r="M1075" s="1272"/>
      <c r="N1075" s="1272"/>
      <c r="O1075" s="1272"/>
      <c r="P1075" s="1272"/>
      <c r="Q1075" s="1272"/>
      <c r="R1075" s="1272"/>
      <c r="S1075" s="1272"/>
      <c r="T1075" s="1272"/>
      <c r="U1075" s="1272"/>
      <c r="V1075" s="1272"/>
      <c r="W1075" s="1272"/>
      <c r="X1075" s="1272"/>
      <c r="Y1075" s="1272"/>
      <c r="Z1075" s="1272"/>
      <c r="AA1075" s="1272"/>
      <c r="AB1075" s="1272"/>
      <c r="AC1075" s="1272"/>
      <c r="AD1075" s="1272"/>
      <c r="AE1075" s="1272"/>
      <c r="AF1075" s="1272"/>
      <c r="AG1075" s="1272"/>
      <c r="AH1075" s="1272"/>
      <c r="AI1075" s="1272"/>
      <c r="AJ1075" s="1272"/>
      <c r="AK1075" s="1272"/>
    </row>
    <row r="1076" spans="1:46" ht="12.95" customHeight="1">
      <c r="A1076" s="1494" t="s">
        <v>600</v>
      </c>
      <c r="B1076" s="1494"/>
      <c r="C1076" s="8">
        <v>3</v>
      </c>
      <c r="D1076" s="1272" t="s">
        <v>2458</v>
      </c>
      <c r="E1076" s="1272"/>
      <c r="F1076" s="1272"/>
      <c r="G1076" s="1272"/>
      <c r="H1076" s="1272"/>
      <c r="I1076" s="1272"/>
      <c r="J1076" s="1272"/>
      <c r="K1076" s="1272"/>
      <c r="L1076" s="1272"/>
      <c r="M1076" s="1272"/>
      <c r="N1076" s="1272"/>
      <c r="O1076" s="1272"/>
      <c r="P1076" s="1272"/>
      <c r="Q1076" s="1272"/>
      <c r="R1076" s="1272"/>
      <c r="S1076" s="1272"/>
      <c r="T1076" s="1272"/>
      <c r="U1076" s="1272"/>
      <c r="V1076" s="1272"/>
      <c r="W1076" s="1272"/>
      <c r="X1076" s="1272"/>
      <c r="Y1076" s="1272"/>
      <c r="Z1076" s="1272"/>
      <c r="AA1076" s="1272"/>
      <c r="AB1076" s="1272"/>
      <c r="AC1076" s="1272"/>
      <c r="AD1076" s="1272"/>
      <c r="AE1076" s="1272"/>
      <c r="AF1076" s="1272"/>
      <c r="AG1076" s="1272"/>
      <c r="AH1076" s="1272"/>
      <c r="AI1076" s="1272"/>
      <c r="AJ1076" s="1272"/>
      <c r="AK1076" s="1272"/>
    </row>
    <row r="1077" spans="1:46" ht="12.95" customHeight="1">
      <c r="A1077" s="4"/>
      <c r="B1077" s="4"/>
      <c r="C1077" s="8"/>
      <c r="D1077" s="1272"/>
      <c r="E1077" s="1272"/>
      <c r="F1077" s="1272"/>
      <c r="G1077" s="1272"/>
      <c r="H1077" s="1272"/>
      <c r="I1077" s="1272"/>
      <c r="J1077" s="1272"/>
      <c r="K1077" s="1272"/>
      <c r="L1077" s="1272"/>
      <c r="M1077" s="1272"/>
      <c r="N1077" s="1272"/>
      <c r="O1077" s="1272"/>
      <c r="P1077" s="1272"/>
      <c r="Q1077" s="1272"/>
      <c r="R1077" s="1272"/>
      <c r="S1077" s="1272"/>
      <c r="T1077" s="1272"/>
      <c r="U1077" s="1272"/>
      <c r="V1077" s="1272"/>
      <c r="W1077" s="1272"/>
      <c r="X1077" s="1272"/>
      <c r="Y1077" s="1272"/>
      <c r="Z1077" s="1272"/>
      <c r="AA1077" s="1272"/>
      <c r="AB1077" s="1272"/>
      <c r="AC1077" s="1272"/>
      <c r="AD1077" s="1272"/>
      <c r="AE1077" s="1272"/>
      <c r="AF1077" s="1272"/>
      <c r="AG1077" s="1272"/>
      <c r="AH1077" s="1272"/>
      <c r="AI1077" s="1272"/>
      <c r="AJ1077" s="1272"/>
      <c r="AK1077" s="1272"/>
    </row>
    <row r="1078" spans="1:46" ht="12.95" customHeight="1">
      <c r="A1078" s="4"/>
      <c r="B1078" s="4"/>
      <c r="C1078" s="8"/>
      <c r="D1078" s="1272"/>
      <c r="E1078" s="1272"/>
      <c r="F1078" s="1272"/>
      <c r="G1078" s="1272"/>
      <c r="H1078" s="1272"/>
      <c r="I1078" s="1272"/>
      <c r="J1078" s="1272"/>
      <c r="K1078" s="1272"/>
      <c r="L1078" s="1272"/>
      <c r="M1078" s="1272"/>
      <c r="N1078" s="1272"/>
      <c r="O1078" s="1272"/>
      <c r="P1078" s="1272"/>
      <c r="Q1078" s="1272"/>
      <c r="R1078" s="1272"/>
      <c r="S1078" s="1272"/>
      <c r="T1078" s="1272"/>
      <c r="U1078" s="1272"/>
      <c r="V1078" s="1272"/>
      <c r="W1078" s="1272"/>
      <c r="X1078" s="1272"/>
      <c r="Y1078" s="1272"/>
      <c r="Z1078" s="1272"/>
      <c r="AA1078" s="1272"/>
      <c r="AB1078" s="1272"/>
      <c r="AC1078" s="1272"/>
      <c r="AD1078" s="1272"/>
      <c r="AE1078" s="1272"/>
      <c r="AF1078" s="1272"/>
      <c r="AG1078" s="1272"/>
      <c r="AH1078" s="1272"/>
      <c r="AI1078" s="1272"/>
      <c r="AJ1078" s="1272"/>
      <c r="AK1078" s="1272"/>
    </row>
    <row r="1079" spans="1:46" ht="12.95" customHeight="1">
      <c r="A1079" s="35"/>
      <c r="B1079" s="25"/>
      <c r="C1079" s="8"/>
      <c r="D1079" s="1272"/>
      <c r="E1079" s="1272"/>
      <c r="F1079" s="1272"/>
      <c r="G1079" s="1272"/>
      <c r="H1079" s="1272"/>
      <c r="I1079" s="1272"/>
      <c r="J1079" s="1272"/>
      <c r="K1079" s="1272"/>
      <c r="L1079" s="1272"/>
      <c r="M1079" s="1272"/>
      <c r="N1079" s="1272"/>
      <c r="O1079" s="1272"/>
      <c r="P1079" s="1272"/>
      <c r="Q1079" s="1272"/>
      <c r="R1079" s="1272"/>
      <c r="S1079" s="1272"/>
      <c r="T1079" s="1272"/>
      <c r="U1079" s="1272"/>
      <c r="V1079" s="1272"/>
      <c r="W1079" s="1272"/>
      <c r="X1079" s="1272"/>
      <c r="Y1079" s="1272"/>
      <c r="Z1079" s="1272"/>
      <c r="AA1079" s="1272"/>
      <c r="AB1079" s="1272"/>
      <c r="AC1079" s="1272"/>
      <c r="AD1079" s="1272"/>
      <c r="AE1079" s="1272"/>
      <c r="AF1079" s="1272"/>
      <c r="AG1079" s="1272"/>
      <c r="AH1079" s="1272"/>
      <c r="AI1079" s="1272"/>
      <c r="AJ1079" s="1272"/>
      <c r="AK1079" s="1272"/>
    </row>
    <row r="1080" spans="1:46" ht="12.95" customHeight="1">
      <c r="A1080" s="35"/>
      <c r="B1080" s="25"/>
      <c r="C1080" s="8"/>
      <c r="D1080" s="1272"/>
      <c r="E1080" s="1272"/>
      <c r="F1080" s="1272"/>
      <c r="G1080" s="1272"/>
      <c r="H1080" s="1272"/>
      <c r="I1080" s="1272"/>
      <c r="J1080" s="1272"/>
      <c r="K1080" s="1272"/>
      <c r="L1080" s="1272"/>
      <c r="M1080" s="1272"/>
      <c r="N1080" s="1272"/>
      <c r="O1080" s="1272"/>
      <c r="P1080" s="1272"/>
      <c r="Q1080" s="1272"/>
      <c r="R1080" s="1272"/>
      <c r="S1080" s="1272"/>
      <c r="T1080" s="1272"/>
      <c r="U1080" s="1272"/>
      <c r="V1080" s="1272"/>
      <c r="W1080" s="1272"/>
      <c r="X1080" s="1272"/>
      <c r="Y1080" s="1272"/>
      <c r="Z1080" s="1272"/>
      <c r="AA1080" s="1272"/>
      <c r="AB1080" s="1272"/>
      <c r="AC1080" s="1272"/>
      <c r="AD1080" s="1272"/>
      <c r="AE1080" s="1272"/>
      <c r="AF1080" s="1272"/>
      <c r="AG1080" s="1272"/>
      <c r="AH1080" s="1272"/>
      <c r="AI1080" s="1272"/>
      <c r="AJ1080" s="1272"/>
      <c r="AK1080" s="1272"/>
    </row>
    <row r="1081" spans="1:46" ht="12.95" customHeight="1">
      <c r="A1081" s="35"/>
      <c r="B1081" s="25"/>
      <c r="C1081" s="8"/>
      <c r="D1081" s="1272"/>
      <c r="E1081" s="1272"/>
      <c r="F1081" s="1272"/>
      <c r="G1081" s="1272"/>
      <c r="H1081" s="1272"/>
      <c r="I1081" s="1272"/>
      <c r="J1081" s="1272"/>
      <c r="K1081" s="1272"/>
      <c r="L1081" s="1272"/>
      <c r="M1081" s="1272"/>
      <c r="N1081" s="1272"/>
      <c r="O1081" s="1272"/>
      <c r="P1081" s="1272"/>
      <c r="Q1081" s="1272"/>
      <c r="R1081" s="1272"/>
      <c r="S1081" s="1272"/>
      <c r="T1081" s="1272"/>
      <c r="U1081" s="1272"/>
      <c r="V1081" s="1272"/>
      <c r="W1081" s="1272"/>
      <c r="X1081" s="1272"/>
      <c r="Y1081" s="1272"/>
      <c r="Z1081" s="1272"/>
      <c r="AA1081" s="1272"/>
      <c r="AB1081" s="1272"/>
      <c r="AC1081" s="1272"/>
      <c r="AD1081" s="1272"/>
      <c r="AE1081" s="1272"/>
      <c r="AF1081" s="1272"/>
      <c r="AG1081" s="1272"/>
      <c r="AH1081" s="1272"/>
      <c r="AI1081" s="1272"/>
      <c r="AJ1081" s="1272"/>
      <c r="AK1081" s="1272"/>
    </row>
    <row r="1082" spans="1:46" ht="12.95" customHeight="1">
      <c r="A1082" s="35"/>
      <c r="B1082" s="25"/>
      <c r="C1082" s="8"/>
      <c r="D1082" s="1272"/>
      <c r="E1082" s="1272"/>
      <c r="F1082" s="1272"/>
      <c r="G1082" s="1272"/>
      <c r="H1082" s="1272"/>
      <c r="I1082" s="1272"/>
      <c r="J1082" s="1272"/>
      <c r="K1082" s="1272"/>
      <c r="L1082" s="1272"/>
      <c r="M1082" s="1272"/>
      <c r="N1082" s="1272"/>
      <c r="O1082" s="1272"/>
      <c r="P1082" s="1272"/>
      <c r="Q1082" s="1272"/>
      <c r="R1082" s="1272"/>
      <c r="S1082" s="1272"/>
      <c r="T1082" s="1272"/>
      <c r="U1082" s="1272"/>
      <c r="V1082" s="1272"/>
      <c r="W1082" s="1272"/>
      <c r="X1082" s="1272"/>
      <c r="Y1082" s="1272"/>
      <c r="Z1082" s="1272"/>
      <c r="AA1082" s="1272"/>
      <c r="AB1082" s="1272"/>
      <c r="AC1082" s="1272"/>
      <c r="AD1082" s="1272"/>
      <c r="AE1082" s="1272"/>
      <c r="AF1082" s="1272"/>
      <c r="AG1082" s="1272"/>
      <c r="AH1082" s="1272"/>
      <c r="AI1082" s="1272"/>
      <c r="AJ1082" s="1272"/>
      <c r="AK1082" s="1272"/>
    </row>
    <row r="1083" spans="1:46" ht="12.95" customHeight="1">
      <c r="A1083" s="1494" t="s">
        <v>600</v>
      </c>
      <c r="B1083" s="1494"/>
      <c r="C1083" s="8">
        <v>4</v>
      </c>
      <c r="D1083" s="1272" t="s">
        <v>1119</v>
      </c>
      <c r="E1083" s="1272"/>
      <c r="F1083" s="1272"/>
      <c r="G1083" s="1272"/>
      <c r="H1083" s="1272"/>
      <c r="I1083" s="1272"/>
      <c r="J1083" s="1272"/>
      <c r="K1083" s="1272"/>
      <c r="L1083" s="1272"/>
      <c r="M1083" s="1272"/>
      <c r="N1083" s="1272"/>
      <c r="O1083" s="1272"/>
      <c r="P1083" s="1272"/>
      <c r="Q1083" s="1272"/>
      <c r="R1083" s="1272"/>
      <c r="S1083" s="1272"/>
      <c r="T1083" s="1272"/>
      <c r="U1083" s="1272"/>
      <c r="V1083" s="1272"/>
      <c r="W1083" s="1272"/>
      <c r="X1083" s="1272"/>
      <c r="Y1083" s="1272"/>
      <c r="Z1083" s="1272"/>
      <c r="AA1083" s="1272"/>
      <c r="AB1083" s="1272"/>
      <c r="AC1083" s="1272"/>
      <c r="AD1083" s="1272"/>
      <c r="AE1083" s="1272"/>
      <c r="AF1083" s="1272"/>
      <c r="AG1083" s="1272"/>
      <c r="AH1083" s="1272"/>
      <c r="AI1083" s="1272"/>
      <c r="AJ1083" s="1272"/>
      <c r="AK1083" s="1272"/>
    </row>
    <row r="1084" spans="1:46" ht="12.95" customHeight="1">
      <c r="A1084" s="1"/>
      <c r="B1084" s="1"/>
      <c r="C1084" s="8"/>
      <c r="D1084" s="1272"/>
      <c r="E1084" s="1272"/>
      <c r="F1084" s="1272"/>
      <c r="G1084" s="1272"/>
      <c r="H1084" s="1272"/>
      <c r="I1084" s="1272"/>
      <c r="J1084" s="1272"/>
      <c r="K1084" s="1272"/>
      <c r="L1084" s="1272"/>
      <c r="M1084" s="1272"/>
      <c r="N1084" s="1272"/>
      <c r="O1084" s="1272"/>
      <c r="P1084" s="1272"/>
      <c r="Q1084" s="1272"/>
      <c r="R1084" s="1272"/>
      <c r="S1084" s="1272"/>
      <c r="T1084" s="1272"/>
      <c r="U1084" s="1272"/>
      <c r="V1084" s="1272"/>
      <c r="W1084" s="1272"/>
      <c r="X1084" s="1272"/>
      <c r="Y1084" s="1272"/>
      <c r="Z1084" s="1272"/>
      <c r="AA1084" s="1272"/>
      <c r="AB1084" s="1272"/>
      <c r="AC1084" s="1272"/>
      <c r="AD1084" s="1272"/>
      <c r="AE1084" s="1272"/>
      <c r="AF1084" s="1272"/>
      <c r="AG1084" s="1272"/>
      <c r="AH1084" s="1272"/>
      <c r="AI1084" s="1272"/>
      <c r="AJ1084" s="1272"/>
      <c r="AK1084" s="1272"/>
    </row>
    <row r="1085" spans="1:46" ht="12.95" customHeight="1">
      <c r="A1085" s="35"/>
      <c r="B1085" s="25"/>
      <c r="C1085" s="8"/>
      <c r="D1085" s="1272"/>
      <c r="E1085" s="1272"/>
      <c r="F1085" s="1272"/>
      <c r="G1085" s="1272"/>
      <c r="H1085" s="1272"/>
      <c r="I1085" s="1272"/>
      <c r="J1085" s="1272"/>
      <c r="K1085" s="1272"/>
      <c r="L1085" s="1272"/>
      <c r="M1085" s="1272"/>
      <c r="N1085" s="1272"/>
      <c r="O1085" s="1272"/>
      <c r="P1085" s="1272"/>
      <c r="Q1085" s="1272"/>
      <c r="R1085" s="1272"/>
      <c r="S1085" s="1272"/>
      <c r="T1085" s="1272"/>
      <c r="U1085" s="1272"/>
      <c r="V1085" s="1272"/>
      <c r="W1085" s="1272"/>
      <c r="X1085" s="1272"/>
      <c r="Y1085" s="1272"/>
      <c r="Z1085" s="1272"/>
      <c r="AA1085" s="1272"/>
      <c r="AB1085" s="1272"/>
      <c r="AC1085" s="1272"/>
      <c r="AD1085" s="1272"/>
      <c r="AE1085" s="1272"/>
      <c r="AF1085" s="1272"/>
      <c r="AG1085" s="1272"/>
      <c r="AH1085" s="1272"/>
      <c r="AI1085" s="1272"/>
      <c r="AJ1085" s="1272"/>
      <c r="AK1085" s="1272"/>
    </row>
    <row r="1086" spans="1:46" ht="12.95" customHeight="1">
      <c r="A1086" s="1494" t="s">
        <v>600</v>
      </c>
      <c r="B1086" s="1494"/>
      <c r="C1086" s="8">
        <v>5</v>
      </c>
      <c r="D1086" s="1272" t="s">
        <v>2459</v>
      </c>
      <c r="E1086" s="1272"/>
      <c r="F1086" s="1272"/>
      <c r="G1086" s="1272"/>
      <c r="H1086" s="1272"/>
      <c r="I1086" s="1272"/>
      <c r="J1086" s="1272"/>
      <c r="K1086" s="1272"/>
      <c r="L1086" s="1272"/>
      <c r="M1086" s="1272"/>
      <c r="N1086" s="1272"/>
      <c r="O1086" s="1272"/>
      <c r="P1086" s="1272"/>
      <c r="Q1086" s="1272"/>
      <c r="R1086" s="1272"/>
      <c r="S1086" s="1272"/>
      <c r="T1086" s="1272"/>
      <c r="U1086" s="1272"/>
      <c r="V1086" s="1272"/>
      <c r="W1086" s="1272"/>
      <c r="X1086" s="1272"/>
      <c r="Y1086" s="1272"/>
      <c r="Z1086" s="1272"/>
      <c r="AA1086" s="1272"/>
      <c r="AB1086" s="1272"/>
      <c r="AC1086" s="1272"/>
      <c r="AD1086" s="1272"/>
      <c r="AE1086" s="1272"/>
      <c r="AF1086" s="1272"/>
      <c r="AG1086" s="1272"/>
      <c r="AH1086" s="1272"/>
      <c r="AI1086" s="1272"/>
      <c r="AJ1086" s="1272"/>
      <c r="AK1086" s="1272"/>
    </row>
    <row r="1087" spans="1:46" ht="12.95" customHeight="1">
      <c r="A1087" s="1"/>
      <c r="B1087" s="1"/>
      <c r="C1087" s="8"/>
      <c r="D1087" s="1272"/>
      <c r="E1087" s="1272"/>
      <c r="F1087" s="1272"/>
      <c r="G1087" s="1272"/>
      <c r="H1087" s="1272"/>
      <c r="I1087" s="1272"/>
      <c r="J1087" s="1272"/>
      <c r="K1087" s="1272"/>
      <c r="L1087" s="1272"/>
      <c r="M1087" s="1272"/>
      <c r="N1087" s="1272"/>
      <c r="O1087" s="1272"/>
      <c r="P1087" s="1272"/>
      <c r="Q1087" s="1272"/>
      <c r="R1087" s="1272"/>
      <c r="S1087" s="1272"/>
      <c r="T1087" s="1272"/>
      <c r="U1087" s="1272"/>
      <c r="V1087" s="1272"/>
      <c r="W1087" s="1272"/>
      <c r="X1087" s="1272"/>
      <c r="Y1087" s="1272"/>
      <c r="Z1087" s="1272"/>
      <c r="AA1087" s="1272"/>
      <c r="AB1087" s="1272"/>
      <c r="AC1087" s="1272"/>
      <c r="AD1087" s="1272"/>
      <c r="AE1087" s="1272"/>
      <c r="AF1087" s="1272"/>
      <c r="AG1087" s="1272"/>
      <c r="AH1087" s="1272"/>
      <c r="AI1087" s="1272"/>
      <c r="AJ1087" s="1272"/>
      <c r="AK1087" s="1272"/>
    </row>
    <row r="1088" spans="1:46" ht="12.95" customHeight="1">
      <c r="A1088" s="1"/>
      <c r="B1088" s="1"/>
      <c r="C1088" s="8"/>
      <c r="D1088" s="1272"/>
      <c r="E1088" s="1272"/>
      <c r="F1088" s="1272"/>
      <c r="G1088" s="1272"/>
      <c r="H1088" s="1272"/>
      <c r="I1088" s="1272"/>
      <c r="J1088" s="1272"/>
      <c r="K1088" s="1272"/>
      <c r="L1088" s="1272"/>
      <c r="M1088" s="1272"/>
      <c r="N1088" s="1272"/>
      <c r="O1088" s="1272"/>
      <c r="P1088" s="1272"/>
      <c r="Q1088" s="1272"/>
      <c r="R1088" s="1272"/>
      <c r="S1088" s="1272"/>
      <c r="T1088" s="1272"/>
      <c r="U1088" s="1272"/>
      <c r="V1088" s="1272"/>
      <c r="W1088" s="1272"/>
      <c r="X1088" s="1272"/>
      <c r="Y1088" s="1272"/>
      <c r="Z1088" s="1272"/>
      <c r="AA1088" s="1272"/>
      <c r="AB1088" s="1272"/>
      <c r="AC1088" s="1272"/>
      <c r="AD1088" s="1272"/>
      <c r="AE1088" s="1272"/>
      <c r="AF1088" s="1272"/>
      <c r="AG1088" s="1272"/>
      <c r="AH1088" s="1272"/>
      <c r="AI1088" s="1272"/>
      <c r="AJ1088" s="1272"/>
      <c r="AK1088" s="1272"/>
    </row>
    <row r="1089" spans="1:37" ht="12.95" hidden="1" customHeight="1">
      <c r="A1089" s="1"/>
      <c r="B1089" s="1"/>
      <c r="C1089" s="8"/>
      <c r="D1089" s="1272"/>
      <c r="E1089" s="1272"/>
      <c r="F1089" s="1272"/>
      <c r="G1089" s="1272"/>
      <c r="H1089" s="1272"/>
      <c r="I1089" s="1272"/>
      <c r="J1089" s="1272"/>
      <c r="K1089" s="1272"/>
      <c r="L1089" s="1272"/>
      <c r="M1089" s="1272"/>
      <c r="N1089" s="1272"/>
      <c r="O1089" s="1272"/>
      <c r="P1089" s="1272"/>
      <c r="Q1089" s="1272"/>
      <c r="R1089" s="1272"/>
      <c r="S1089" s="1272"/>
      <c r="T1089" s="1272"/>
      <c r="U1089" s="1272"/>
      <c r="V1089" s="1272"/>
      <c r="W1089" s="1272"/>
      <c r="X1089" s="1272"/>
      <c r="Y1089" s="1272"/>
      <c r="Z1089" s="1272"/>
      <c r="AA1089" s="1272"/>
      <c r="AB1089" s="1272"/>
      <c r="AC1089" s="1272"/>
      <c r="AD1089" s="1272"/>
      <c r="AE1089" s="1272"/>
      <c r="AF1089" s="1272"/>
      <c r="AG1089" s="1272"/>
      <c r="AH1089" s="1272"/>
      <c r="AI1089" s="1272"/>
      <c r="AJ1089" s="1272"/>
      <c r="AK1089" s="1272"/>
    </row>
    <row r="1090" spans="1:37" ht="12.95" customHeight="1">
      <c r="A1090" s="35"/>
      <c r="B1090" s="25"/>
      <c r="C1090" s="8"/>
      <c r="D1090" s="1272"/>
      <c r="E1090" s="1272"/>
      <c r="F1090" s="1272"/>
      <c r="G1090" s="1272"/>
      <c r="H1090" s="1272"/>
      <c r="I1090" s="1272"/>
      <c r="J1090" s="1272"/>
      <c r="K1090" s="1272"/>
      <c r="L1090" s="1272"/>
      <c r="M1090" s="1272"/>
      <c r="N1090" s="1272"/>
      <c r="O1090" s="1272"/>
      <c r="P1090" s="1272"/>
      <c r="Q1090" s="1272"/>
      <c r="R1090" s="1272"/>
      <c r="S1090" s="1272"/>
      <c r="T1090" s="1272"/>
      <c r="U1090" s="1272"/>
      <c r="V1090" s="1272"/>
      <c r="W1090" s="1272"/>
      <c r="X1090" s="1272"/>
      <c r="Y1090" s="1272"/>
      <c r="Z1090" s="1272"/>
      <c r="AA1090" s="1272"/>
      <c r="AB1090" s="1272"/>
      <c r="AC1090" s="1272"/>
      <c r="AD1090" s="1272"/>
      <c r="AE1090" s="1272"/>
      <c r="AF1090" s="1272"/>
      <c r="AG1090" s="1272"/>
      <c r="AH1090" s="1272"/>
      <c r="AI1090" s="1272"/>
      <c r="AJ1090" s="1272"/>
      <c r="AK1090" s="1272"/>
    </row>
    <row r="1091" spans="1:37" ht="12.95" customHeight="1">
      <c r="A1091" s="1494" t="s">
        <v>600</v>
      </c>
      <c r="B1091" s="1494"/>
      <c r="C1091" s="8">
        <v>6</v>
      </c>
      <c r="D1091" s="1272" t="s">
        <v>1120</v>
      </c>
      <c r="E1091" s="1272"/>
      <c r="F1091" s="1272"/>
      <c r="G1091" s="1272"/>
      <c r="H1091" s="1272"/>
      <c r="I1091" s="1272"/>
      <c r="J1091" s="1272"/>
      <c r="K1091" s="1272"/>
      <c r="L1091" s="1272"/>
      <c r="M1091" s="1272"/>
      <c r="N1091" s="1272"/>
      <c r="O1091" s="1272"/>
      <c r="P1091" s="1272"/>
      <c r="Q1091" s="1272"/>
      <c r="R1091" s="1272"/>
      <c r="S1091" s="1272"/>
      <c r="T1091" s="1272"/>
      <c r="U1091" s="1272"/>
      <c r="V1091" s="1272"/>
      <c r="W1091" s="1272"/>
      <c r="X1091" s="1272"/>
      <c r="Y1091" s="1272"/>
      <c r="Z1091" s="1272"/>
      <c r="AA1091" s="1272"/>
      <c r="AB1091" s="1272"/>
      <c r="AC1091" s="1272"/>
      <c r="AD1091" s="1272"/>
      <c r="AE1091" s="1272"/>
      <c r="AF1091" s="1272"/>
      <c r="AG1091" s="1272"/>
      <c r="AH1091" s="1272"/>
      <c r="AI1091" s="1272"/>
      <c r="AJ1091" s="1272"/>
      <c r="AK1091" s="1272"/>
    </row>
    <row r="1092" spans="1:37" ht="12.95" customHeight="1">
      <c r="A1092" s="35"/>
      <c r="B1092" s="25"/>
      <c r="C1092" s="8"/>
      <c r="D1092" s="1272"/>
      <c r="E1092" s="1272"/>
      <c r="F1092" s="1272"/>
      <c r="G1092" s="1272"/>
      <c r="H1092" s="1272"/>
      <c r="I1092" s="1272"/>
      <c r="J1092" s="1272"/>
      <c r="K1092" s="1272"/>
      <c r="L1092" s="1272"/>
      <c r="M1092" s="1272"/>
      <c r="N1092" s="1272"/>
      <c r="O1092" s="1272"/>
      <c r="P1092" s="1272"/>
      <c r="Q1092" s="1272"/>
      <c r="R1092" s="1272"/>
      <c r="S1092" s="1272"/>
      <c r="T1092" s="1272"/>
      <c r="U1092" s="1272"/>
      <c r="V1092" s="1272"/>
      <c r="W1092" s="1272"/>
      <c r="X1092" s="1272"/>
      <c r="Y1092" s="1272"/>
      <c r="Z1092" s="1272"/>
      <c r="AA1092" s="1272"/>
      <c r="AB1092" s="1272"/>
      <c r="AC1092" s="1272"/>
      <c r="AD1092" s="1272"/>
      <c r="AE1092" s="1272"/>
      <c r="AF1092" s="1272"/>
      <c r="AG1092" s="1272"/>
      <c r="AH1092" s="1272"/>
      <c r="AI1092" s="1272"/>
      <c r="AJ1092" s="1272"/>
      <c r="AK1092" s="1272"/>
    </row>
    <row r="1093" spans="1:37" ht="12.95" customHeight="1">
      <c r="A1093" s="35"/>
      <c r="B1093" s="25"/>
      <c r="C1093" s="8"/>
      <c r="D1093" s="1272"/>
      <c r="E1093" s="1272"/>
      <c r="F1093" s="1272"/>
      <c r="G1093" s="1272"/>
      <c r="H1093" s="1272"/>
      <c r="I1093" s="1272"/>
      <c r="J1093" s="1272"/>
      <c r="K1093" s="1272"/>
      <c r="L1093" s="1272"/>
      <c r="M1093" s="1272"/>
      <c r="N1093" s="1272"/>
      <c r="O1093" s="1272"/>
      <c r="P1093" s="1272"/>
      <c r="Q1093" s="1272"/>
      <c r="R1093" s="1272"/>
      <c r="S1093" s="1272"/>
      <c r="T1093" s="1272"/>
      <c r="U1093" s="1272"/>
      <c r="V1093" s="1272"/>
      <c r="W1093" s="1272"/>
      <c r="X1093" s="1272"/>
      <c r="Y1093" s="1272"/>
      <c r="Z1093" s="1272"/>
      <c r="AA1093" s="1272"/>
      <c r="AB1093" s="1272"/>
      <c r="AC1093" s="1272"/>
      <c r="AD1093" s="1272"/>
      <c r="AE1093" s="1272"/>
      <c r="AF1093" s="1272"/>
      <c r="AG1093" s="1272"/>
      <c r="AH1093" s="1272"/>
      <c r="AI1093" s="1272"/>
      <c r="AJ1093" s="1272"/>
      <c r="AK1093" s="1272"/>
    </row>
    <row r="1094" spans="1:37" ht="12.95" customHeight="1">
      <c r="A1094" s="1494" t="s">
        <v>600</v>
      </c>
      <c r="B1094" s="1494"/>
      <c r="C1094" s="212">
        <v>7</v>
      </c>
      <c r="D1094" s="1272" t="s">
        <v>1122</v>
      </c>
      <c r="E1094" s="1272"/>
      <c r="F1094" s="1272"/>
      <c r="G1094" s="1272"/>
      <c r="H1094" s="1272"/>
      <c r="I1094" s="1272"/>
      <c r="J1094" s="1272"/>
      <c r="K1094" s="1272"/>
      <c r="L1094" s="1272"/>
      <c r="M1094" s="1272"/>
      <c r="N1094" s="1272"/>
      <c r="O1094" s="1272"/>
      <c r="P1094" s="1272"/>
      <c r="Q1094" s="1272"/>
      <c r="R1094" s="1272"/>
      <c r="S1094" s="1272"/>
      <c r="T1094" s="1272"/>
      <c r="U1094" s="1272"/>
      <c r="V1094" s="1272"/>
      <c r="W1094" s="1272"/>
      <c r="X1094" s="1272"/>
      <c r="Y1094" s="1272"/>
      <c r="Z1094" s="1272"/>
      <c r="AA1094" s="1272"/>
      <c r="AB1094" s="1272"/>
      <c r="AC1094" s="1272"/>
      <c r="AD1094" s="1272"/>
      <c r="AE1094" s="1272"/>
      <c r="AF1094" s="1272"/>
      <c r="AG1094" s="1272"/>
      <c r="AH1094" s="1272"/>
      <c r="AI1094" s="1272"/>
      <c r="AJ1094" s="1272"/>
      <c r="AK1094" s="1272"/>
    </row>
    <row r="1095" spans="1:37" ht="12.95" customHeight="1">
      <c r="A1095" s="1"/>
      <c r="B1095" s="1"/>
      <c r="C1095" s="212"/>
      <c r="D1095" s="1272"/>
      <c r="E1095" s="1272"/>
      <c r="F1095" s="1272"/>
      <c r="G1095" s="1272"/>
      <c r="H1095" s="1272"/>
      <c r="I1095" s="1272"/>
      <c r="J1095" s="1272"/>
      <c r="K1095" s="1272"/>
      <c r="L1095" s="1272"/>
      <c r="M1095" s="1272"/>
      <c r="N1095" s="1272"/>
      <c r="O1095" s="1272"/>
      <c r="P1095" s="1272"/>
      <c r="Q1095" s="1272"/>
      <c r="R1095" s="1272"/>
      <c r="S1095" s="1272"/>
      <c r="T1095" s="1272"/>
      <c r="U1095" s="1272"/>
      <c r="V1095" s="1272"/>
      <c r="W1095" s="1272"/>
      <c r="X1095" s="1272"/>
      <c r="Y1095" s="1272"/>
      <c r="Z1095" s="1272"/>
      <c r="AA1095" s="1272"/>
      <c r="AB1095" s="1272"/>
      <c r="AC1095" s="1272"/>
      <c r="AD1095" s="1272"/>
      <c r="AE1095" s="1272"/>
      <c r="AF1095" s="1272"/>
      <c r="AG1095" s="1272"/>
      <c r="AH1095" s="1272"/>
      <c r="AI1095" s="1272"/>
      <c r="AJ1095" s="1272"/>
      <c r="AK1095" s="1272"/>
    </row>
    <row r="1096" spans="1:37" ht="12.95" customHeight="1">
      <c r="A1096" s="1"/>
      <c r="B1096" s="1"/>
      <c r="C1096" s="212"/>
      <c r="D1096" s="1272"/>
      <c r="E1096" s="1272"/>
      <c r="F1096" s="1272"/>
      <c r="G1096" s="1272"/>
      <c r="H1096" s="1272"/>
      <c r="I1096" s="1272"/>
      <c r="J1096" s="1272"/>
      <c r="K1096" s="1272"/>
      <c r="L1096" s="1272"/>
      <c r="M1096" s="1272"/>
      <c r="N1096" s="1272"/>
      <c r="O1096" s="1272"/>
      <c r="P1096" s="1272"/>
      <c r="Q1096" s="1272"/>
      <c r="R1096" s="1272"/>
      <c r="S1096" s="1272"/>
      <c r="T1096" s="1272"/>
      <c r="U1096" s="1272"/>
      <c r="V1096" s="1272"/>
      <c r="W1096" s="1272"/>
      <c r="X1096" s="1272"/>
      <c r="Y1096" s="1272"/>
      <c r="Z1096" s="1272"/>
      <c r="AA1096" s="1272"/>
      <c r="AB1096" s="1272"/>
      <c r="AC1096" s="1272"/>
      <c r="AD1096" s="1272"/>
      <c r="AE1096" s="1272"/>
      <c r="AF1096" s="1272"/>
      <c r="AG1096" s="1272"/>
      <c r="AH1096" s="1272"/>
      <c r="AI1096" s="1272"/>
      <c r="AJ1096" s="1272"/>
      <c r="AK1096" s="1272"/>
    </row>
    <row r="1097" spans="1:37" ht="12.95" customHeight="1">
      <c r="A1097" s="35"/>
      <c r="B1097" s="25"/>
      <c r="C1097" s="212"/>
      <c r="D1097" s="1272"/>
      <c r="E1097" s="1272"/>
      <c r="F1097" s="1272"/>
      <c r="G1097" s="1272"/>
      <c r="H1097" s="1272"/>
      <c r="I1097" s="1272"/>
      <c r="J1097" s="1272"/>
      <c r="K1097" s="1272"/>
      <c r="L1097" s="1272"/>
      <c r="M1097" s="1272"/>
      <c r="N1097" s="1272"/>
      <c r="O1097" s="1272"/>
      <c r="P1097" s="1272"/>
      <c r="Q1097" s="1272"/>
      <c r="R1097" s="1272"/>
      <c r="S1097" s="1272"/>
      <c r="T1097" s="1272"/>
      <c r="U1097" s="1272"/>
      <c r="V1097" s="1272"/>
      <c r="W1097" s="1272"/>
      <c r="X1097" s="1272"/>
      <c r="Y1097" s="1272"/>
      <c r="Z1097" s="1272"/>
      <c r="AA1097" s="1272"/>
      <c r="AB1097" s="1272"/>
      <c r="AC1097" s="1272"/>
      <c r="AD1097" s="1272"/>
      <c r="AE1097" s="1272"/>
      <c r="AF1097" s="1272"/>
      <c r="AG1097" s="1272"/>
      <c r="AH1097" s="1272"/>
      <c r="AI1097" s="1272"/>
      <c r="AJ1097" s="1272"/>
      <c r="AK1097" s="1272"/>
    </row>
    <row r="1098" spans="1:37" ht="12.95" customHeight="1">
      <c r="A1098" s="1494" t="s">
        <v>600</v>
      </c>
      <c r="B1098" s="1494"/>
      <c r="C1098" s="212">
        <v>8</v>
      </c>
      <c r="D1098" s="1356" t="s">
        <v>1872</v>
      </c>
      <c r="E1098" s="1356"/>
      <c r="F1098" s="1356"/>
      <c r="G1098" s="1356"/>
      <c r="H1098" s="1356"/>
      <c r="I1098" s="1356"/>
      <c r="J1098" s="1356"/>
      <c r="K1098" s="1356"/>
      <c r="L1098" s="1356"/>
      <c r="M1098" s="1356"/>
      <c r="N1098" s="1356"/>
      <c r="O1098" s="1356"/>
      <c r="P1098" s="1356"/>
      <c r="Q1098" s="1356"/>
      <c r="R1098" s="1356"/>
      <c r="S1098" s="1356"/>
      <c r="T1098" s="1356"/>
      <c r="U1098" s="1356"/>
      <c r="V1098" s="1356"/>
      <c r="W1098" s="1356"/>
      <c r="X1098" s="1356"/>
      <c r="Y1098" s="1356"/>
      <c r="Z1098" s="1356"/>
      <c r="AA1098" s="1356"/>
      <c r="AB1098" s="1356"/>
      <c r="AC1098" s="1356"/>
      <c r="AD1098" s="1356"/>
      <c r="AE1098" s="1356"/>
      <c r="AF1098" s="1356"/>
      <c r="AG1098" s="1356"/>
      <c r="AH1098" s="1356"/>
      <c r="AI1098" s="1356"/>
      <c r="AJ1098" s="1356"/>
      <c r="AK1098" s="1356"/>
    </row>
    <row r="1099" spans="1:37" ht="12.95" customHeight="1">
      <c r="A1099" s="1"/>
      <c r="B1099" s="1"/>
      <c r="C1099" s="212"/>
      <c r="D1099" s="1356"/>
      <c r="E1099" s="1356"/>
      <c r="F1099" s="1356"/>
      <c r="G1099" s="1356"/>
      <c r="H1099" s="1356"/>
      <c r="I1099" s="1356"/>
      <c r="J1099" s="1356"/>
      <c r="K1099" s="1356"/>
      <c r="L1099" s="1356"/>
      <c r="M1099" s="1356"/>
      <c r="N1099" s="1356"/>
      <c r="O1099" s="1356"/>
      <c r="P1099" s="1356"/>
      <c r="Q1099" s="1356"/>
      <c r="R1099" s="1356"/>
      <c r="S1099" s="1356"/>
      <c r="T1099" s="1356"/>
      <c r="U1099" s="1356"/>
      <c r="V1099" s="1356"/>
      <c r="W1099" s="1356"/>
      <c r="X1099" s="1356"/>
      <c r="Y1099" s="1356"/>
      <c r="Z1099" s="1356"/>
      <c r="AA1099" s="1356"/>
      <c r="AB1099" s="1356"/>
      <c r="AC1099" s="1356"/>
      <c r="AD1099" s="1356"/>
      <c r="AE1099" s="1356"/>
      <c r="AF1099" s="1356"/>
      <c r="AG1099" s="1356"/>
      <c r="AH1099" s="1356"/>
      <c r="AI1099" s="1356"/>
      <c r="AJ1099" s="1356"/>
      <c r="AK1099" s="1356"/>
    </row>
    <row r="1100" spans="1:37" ht="12.95" customHeight="1">
      <c r="A1100" s="1"/>
      <c r="B1100" s="1"/>
      <c r="C1100" s="212"/>
      <c r="D1100" s="1356"/>
      <c r="E1100" s="1356"/>
      <c r="F1100" s="1356"/>
      <c r="G1100" s="1356"/>
      <c r="H1100" s="1356"/>
      <c r="I1100" s="1356"/>
      <c r="J1100" s="1356"/>
      <c r="K1100" s="1356"/>
      <c r="L1100" s="1356"/>
      <c r="M1100" s="1356"/>
      <c r="N1100" s="1356"/>
      <c r="O1100" s="1356"/>
      <c r="P1100" s="1356"/>
      <c r="Q1100" s="1356"/>
      <c r="R1100" s="1356"/>
      <c r="S1100" s="1356"/>
      <c r="T1100" s="1356"/>
      <c r="U1100" s="1356"/>
      <c r="V1100" s="1356"/>
      <c r="W1100" s="1356"/>
      <c r="X1100" s="1356"/>
      <c r="Y1100" s="1356"/>
      <c r="Z1100" s="1356"/>
      <c r="AA1100" s="1356"/>
      <c r="AB1100" s="1356"/>
      <c r="AC1100" s="1356"/>
      <c r="AD1100" s="1356"/>
      <c r="AE1100" s="1356"/>
      <c r="AF1100" s="1356"/>
      <c r="AG1100" s="1356"/>
      <c r="AH1100" s="1356"/>
      <c r="AI1100" s="1356"/>
      <c r="AJ1100" s="1356"/>
      <c r="AK1100" s="1356"/>
    </row>
    <row r="1101" spans="1:37" ht="0" hidden="1" customHeight="1">
      <c r="A1101" s="1"/>
      <c r="B1101" s="1"/>
      <c r="C1101" s="212"/>
      <c r="D1101" s="1356"/>
      <c r="E1101" s="1356"/>
      <c r="F1101" s="1356"/>
      <c r="G1101" s="1356"/>
      <c r="H1101" s="1356"/>
      <c r="I1101" s="1356"/>
      <c r="J1101" s="1356"/>
      <c r="K1101" s="1356"/>
      <c r="L1101" s="1356"/>
      <c r="M1101" s="1356"/>
      <c r="N1101" s="1356"/>
      <c r="O1101" s="1356"/>
      <c r="P1101" s="1356"/>
      <c r="Q1101" s="1356"/>
      <c r="R1101" s="1356"/>
      <c r="S1101" s="1356"/>
      <c r="T1101" s="1356"/>
      <c r="U1101" s="1356"/>
      <c r="V1101" s="1356"/>
      <c r="W1101" s="1356"/>
      <c r="X1101" s="1356"/>
      <c r="Y1101" s="1356"/>
      <c r="Z1101" s="1356"/>
      <c r="AA1101" s="1356"/>
      <c r="AB1101" s="1356"/>
      <c r="AC1101" s="1356"/>
      <c r="AD1101" s="1356"/>
      <c r="AE1101" s="1356"/>
      <c r="AF1101" s="1356"/>
      <c r="AG1101" s="1356"/>
      <c r="AH1101" s="1356"/>
      <c r="AI1101" s="1356"/>
      <c r="AJ1101" s="1356"/>
      <c r="AK1101" s="1356"/>
    </row>
    <row r="1102" spans="1:37" ht="0" hidden="1" customHeight="1">
      <c r="A1102" s="35"/>
      <c r="B1102" s="25"/>
      <c r="C1102" s="212"/>
      <c r="D1102" s="1356"/>
      <c r="E1102" s="1356"/>
      <c r="F1102" s="1356"/>
      <c r="G1102" s="1356"/>
      <c r="H1102" s="1356"/>
      <c r="I1102" s="1356"/>
      <c r="J1102" s="1356"/>
      <c r="K1102" s="1356"/>
      <c r="L1102" s="1356"/>
      <c r="M1102" s="1356"/>
      <c r="N1102" s="1356"/>
      <c r="O1102" s="1356"/>
      <c r="P1102" s="1356"/>
      <c r="Q1102" s="1356"/>
      <c r="R1102" s="1356"/>
      <c r="S1102" s="1356"/>
      <c r="T1102" s="1356"/>
      <c r="U1102" s="1356"/>
      <c r="V1102" s="1356"/>
      <c r="W1102" s="1356"/>
      <c r="X1102" s="1356"/>
      <c r="Y1102" s="1356"/>
      <c r="Z1102" s="1356"/>
      <c r="AA1102" s="1356"/>
      <c r="AB1102" s="1356"/>
      <c r="AC1102" s="1356"/>
      <c r="AD1102" s="1356"/>
      <c r="AE1102" s="1356"/>
      <c r="AF1102" s="1356"/>
      <c r="AG1102" s="1356"/>
      <c r="AH1102" s="1356"/>
      <c r="AI1102" s="1356"/>
      <c r="AJ1102" s="1356"/>
      <c r="AK1102" s="1356"/>
    </row>
    <row r="1103" spans="1:37" ht="0" hidden="1" customHeight="1">
      <c r="A1103" s="1494" t="s">
        <v>600</v>
      </c>
      <c r="B1103" s="1494"/>
      <c r="C1103" s="212">
        <v>9</v>
      </c>
      <c r="D1103" s="1272" t="s">
        <v>1121</v>
      </c>
      <c r="E1103" s="1272"/>
      <c r="F1103" s="1272"/>
      <c r="G1103" s="1272"/>
      <c r="H1103" s="1272"/>
      <c r="I1103" s="1272"/>
      <c r="J1103" s="1272"/>
      <c r="K1103" s="1272"/>
      <c r="L1103" s="1272"/>
      <c r="M1103" s="1272"/>
      <c r="N1103" s="1272"/>
      <c r="O1103" s="1272"/>
      <c r="P1103" s="1272"/>
      <c r="Q1103" s="1272"/>
      <c r="R1103" s="1272"/>
      <c r="S1103" s="1272"/>
      <c r="T1103" s="1272"/>
      <c r="U1103" s="1272"/>
      <c r="V1103" s="1272"/>
      <c r="W1103" s="1272"/>
      <c r="X1103" s="1272"/>
      <c r="Y1103" s="1272"/>
      <c r="Z1103" s="1272"/>
      <c r="AA1103" s="1272"/>
      <c r="AB1103" s="1272"/>
      <c r="AC1103" s="1272"/>
      <c r="AD1103" s="1272"/>
      <c r="AE1103" s="1272"/>
      <c r="AF1103" s="1272"/>
      <c r="AG1103" s="1272"/>
      <c r="AH1103" s="1272"/>
      <c r="AI1103" s="1272"/>
      <c r="AJ1103" s="1272"/>
      <c r="AK1103" s="1272"/>
    </row>
    <row r="1104" spans="1:37" ht="0" hidden="1" customHeight="1">
      <c r="A1104" s="35"/>
      <c r="B1104" s="25"/>
      <c r="C1104" s="212"/>
      <c r="D1104" s="1272"/>
      <c r="E1104" s="1272"/>
      <c r="F1104" s="1272"/>
      <c r="G1104" s="1272"/>
      <c r="H1104" s="1272"/>
      <c r="I1104" s="1272"/>
      <c r="J1104" s="1272"/>
      <c r="K1104" s="1272"/>
      <c r="L1104" s="1272"/>
      <c r="M1104" s="1272"/>
      <c r="N1104" s="1272"/>
      <c r="O1104" s="1272"/>
      <c r="P1104" s="1272"/>
      <c r="Q1104" s="1272"/>
      <c r="R1104" s="1272"/>
      <c r="S1104" s="1272"/>
      <c r="T1104" s="1272"/>
      <c r="U1104" s="1272"/>
      <c r="V1104" s="1272"/>
      <c r="W1104" s="1272"/>
      <c r="X1104" s="1272"/>
      <c r="Y1104" s="1272"/>
      <c r="Z1104" s="1272"/>
      <c r="AA1104" s="1272"/>
      <c r="AB1104" s="1272"/>
      <c r="AC1104" s="1272"/>
      <c r="AD1104" s="1272"/>
      <c r="AE1104" s="1272"/>
      <c r="AF1104" s="1272"/>
      <c r="AG1104" s="1272"/>
      <c r="AH1104" s="1272"/>
      <c r="AI1104" s="1272"/>
      <c r="AJ1104" s="1272"/>
      <c r="AK1104" s="1272"/>
    </row>
    <row r="1105" spans="4:37" ht="0" hidden="1" customHeight="1">
      <c r="D1105" s="1272"/>
      <c r="E1105" s="1272"/>
      <c r="F1105" s="1272"/>
      <c r="G1105" s="1272"/>
      <c r="H1105" s="1272"/>
      <c r="I1105" s="1272"/>
      <c r="J1105" s="1272"/>
      <c r="K1105" s="1272"/>
      <c r="L1105" s="1272"/>
      <c r="M1105" s="1272"/>
      <c r="N1105" s="1272"/>
      <c r="O1105" s="1272"/>
      <c r="P1105" s="1272"/>
      <c r="Q1105" s="1272"/>
      <c r="R1105" s="1272"/>
      <c r="S1105" s="1272"/>
      <c r="T1105" s="1272"/>
      <c r="U1105" s="1272"/>
      <c r="V1105" s="1272"/>
      <c r="W1105" s="1272"/>
      <c r="X1105" s="1272"/>
      <c r="Y1105" s="1272"/>
      <c r="Z1105" s="1272"/>
      <c r="AA1105" s="1272"/>
      <c r="AB1105" s="1272"/>
      <c r="AC1105" s="1272"/>
      <c r="AD1105" s="1272"/>
      <c r="AE1105" s="1272"/>
      <c r="AF1105" s="1272"/>
      <c r="AG1105" s="1272"/>
      <c r="AH1105" s="1272"/>
      <c r="AI1105" s="1272"/>
      <c r="AJ1105" s="1272"/>
      <c r="AK1105" s="1272"/>
    </row>
  </sheetData>
  <sheetProtection algorithmName="SHA-512" hashValue="f2TfT2NllQl4XZzqbLUeC8wBxeWPwoXuD19XAV3hp/XkQDJlcKZsbm317f7YNekl7P6FtyH0IbchU9O8AWG2Tw==" saltValue="jOwgJGCd/5pVt2YyZsphHg=="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24">
    <mergeCell ref="B746:F746"/>
    <mergeCell ref="B747:F747"/>
    <mergeCell ref="B748:F748"/>
    <mergeCell ref="B749:F749"/>
    <mergeCell ref="B750:F750"/>
    <mergeCell ref="X732:AB732"/>
    <mergeCell ref="K734:N734"/>
    <mergeCell ref="AC733:AG733"/>
    <mergeCell ref="B744:F744"/>
    <mergeCell ref="B745:F745"/>
    <mergeCell ref="G753:J753"/>
    <mergeCell ref="AH750:AJ750"/>
    <mergeCell ref="AH751:AJ751"/>
    <mergeCell ref="T776:W776"/>
    <mergeCell ref="AH749:AJ749"/>
    <mergeCell ref="AD759:AF759"/>
    <mergeCell ref="T774:W774"/>
    <mergeCell ref="T732:W732"/>
    <mergeCell ref="T747:W747"/>
    <mergeCell ref="X745:AB745"/>
    <mergeCell ref="X746:AB746"/>
    <mergeCell ref="B736:F736"/>
    <mergeCell ref="B733:F733"/>
    <mergeCell ref="B753:F753"/>
    <mergeCell ref="AC753:AG753"/>
    <mergeCell ref="O753:S753"/>
    <mergeCell ref="G655:L655"/>
    <mergeCell ref="H656:R656"/>
    <mergeCell ref="AA656:AK656"/>
    <mergeCell ref="P816:Y816"/>
    <mergeCell ref="O795:S795"/>
    <mergeCell ref="AC791:AG791"/>
    <mergeCell ref="AH733:AJ733"/>
    <mergeCell ref="G723:J723"/>
    <mergeCell ref="O725:S725"/>
    <mergeCell ref="O726:S726"/>
    <mergeCell ref="K727:N727"/>
    <mergeCell ref="O731:S731"/>
    <mergeCell ref="O732:S732"/>
    <mergeCell ref="G737:J737"/>
    <mergeCell ref="G735:J735"/>
    <mergeCell ref="K726:N726"/>
    <mergeCell ref="AK749:AO749"/>
    <mergeCell ref="AK750:AO750"/>
    <mergeCell ref="AK751:AO751"/>
    <mergeCell ref="AK731:AO731"/>
    <mergeCell ref="AK738:AO738"/>
    <mergeCell ref="G730:J730"/>
    <mergeCell ref="X730:AB730"/>
    <mergeCell ref="X731:AB731"/>
    <mergeCell ref="AH727:AJ727"/>
    <mergeCell ref="AC724:AG724"/>
    <mergeCell ref="AC730:AG730"/>
    <mergeCell ref="AH735:AJ735"/>
    <mergeCell ref="O776:S776"/>
    <mergeCell ref="O769:S772"/>
    <mergeCell ref="T737:W737"/>
    <mergeCell ref="X739:AB739"/>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928:Z928"/>
    <mergeCell ref="AA928:AF928"/>
    <mergeCell ref="U929:Z929"/>
    <mergeCell ref="AA929:AF929"/>
    <mergeCell ref="U930:Z930"/>
    <mergeCell ref="AK740:AO740"/>
    <mergeCell ref="P597:R597"/>
    <mergeCell ref="W560:Y560"/>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G597:L597"/>
    <mergeCell ref="C632:L632"/>
    <mergeCell ref="B639:AN639"/>
    <mergeCell ref="B640:AN640"/>
    <mergeCell ref="B641:AN641"/>
    <mergeCell ref="G643:R643"/>
    <mergeCell ref="W631:Y631"/>
    <mergeCell ref="AG615:AH615"/>
    <mergeCell ref="G612:R612"/>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C633:L633"/>
    <mergeCell ref="C634:L634"/>
    <mergeCell ref="M624:P626"/>
    <mergeCell ref="M627:P627"/>
    <mergeCell ref="AK636:AN636"/>
    <mergeCell ref="G603:R603"/>
    <mergeCell ref="N607:O607"/>
    <mergeCell ref="B731:F731"/>
    <mergeCell ref="B730:F730"/>
    <mergeCell ref="O730:S730"/>
    <mergeCell ref="B752:F752"/>
    <mergeCell ref="AH731:AJ731"/>
    <mergeCell ref="G727:J727"/>
    <mergeCell ref="K718:N718"/>
    <mergeCell ref="K719:N719"/>
    <mergeCell ref="X735:AB735"/>
    <mergeCell ref="X736:AB736"/>
    <mergeCell ref="T735:W735"/>
    <mergeCell ref="AK736:AO736"/>
    <mergeCell ref="T736:W736"/>
    <mergeCell ref="O741:S741"/>
    <mergeCell ref="G728:J728"/>
    <mergeCell ref="AH752:AJ752"/>
    <mergeCell ref="AH741:AJ741"/>
    <mergeCell ref="T718:W718"/>
    <mergeCell ref="O721:S721"/>
    <mergeCell ref="K722:N722"/>
    <mergeCell ref="K723:N723"/>
    <mergeCell ref="T723:W723"/>
    <mergeCell ref="K721:N721"/>
    <mergeCell ref="AH734:AJ734"/>
    <mergeCell ref="K738:N738"/>
    <mergeCell ref="K730:N730"/>
    <mergeCell ref="X737:AB737"/>
    <mergeCell ref="O727:S727"/>
    <mergeCell ref="T749:W749"/>
    <mergeCell ref="K750:N750"/>
    <mergeCell ref="T731:W731"/>
    <mergeCell ref="AH726:AJ726"/>
    <mergeCell ref="G660:R660"/>
    <mergeCell ref="X714:AB717"/>
    <mergeCell ref="Z679:AE679"/>
    <mergeCell ref="H680:R680"/>
    <mergeCell ref="Z670:AK670"/>
    <mergeCell ref="AK741:AO741"/>
    <mergeCell ref="AK752:AO752"/>
    <mergeCell ref="AH737:AJ737"/>
    <mergeCell ref="AK725:AO725"/>
    <mergeCell ref="AE694:AF694"/>
    <mergeCell ref="AK727:AO727"/>
    <mergeCell ref="X734:AB734"/>
    <mergeCell ref="X733:AB733"/>
    <mergeCell ref="AK720:AO720"/>
    <mergeCell ref="AK721:AO721"/>
    <mergeCell ref="G732:J732"/>
    <mergeCell ref="K728:N728"/>
    <mergeCell ref="H688:R688"/>
    <mergeCell ref="N665:O665"/>
    <mergeCell ref="H672:R672"/>
    <mergeCell ref="G676:R676"/>
    <mergeCell ref="O728:S728"/>
    <mergeCell ref="O729:S729"/>
    <mergeCell ref="G671:L671"/>
    <mergeCell ref="G669:R669"/>
    <mergeCell ref="X748:AB748"/>
    <mergeCell ref="X749:AB749"/>
    <mergeCell ref="AC748:AG748"/>
    <mergeCell ref="AC731:AG731"/>
    <mergeCell ref="AC732:AG732"/>
    <mergeCell ref="G729:J729"/>
    <mergeCell ref="G740:J740"/>
    <mergeCell ref="ER669:EV669"/>
    <mergeCell ref="ER668:EV668"/>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H729:AJ729"/>
    <mergeCell ref="AA688:AK688"/>
    <mergeCell ref="AG689:AH689"/>
    <mergeCell ref="Z675:AK675"/>
    <mergeCell ref="AE702:AF702"/>
    <mergeCell ref="AE693:AF693"/>
    <mergeCell ref="A709:AT711"/>
    <mergeCell ref="B719:F719"/>
    <mergeCell ref="B714:F717"/>
    <mergeCell ref="B726:F726"/>
    <mergeCell ref="G670:R670"/>
    <mergeCell ref="W706:AK706"/>
    <mergeCell ref="CM660:CQ660"/>
    <mergeCell ref="CM649:CQ649"/>
    <mergeCell ref="DH649:DL649"/>
    <mergeCell ref="DM649:DQ649"/>
    <mergeCell ref="CS651:CW651"/>
    <mergeCell ref="AK723:AO723"/>
    <mergeCell ref="AK724:AO724"/>
    <mergeCell ref="AG649:AH649"/>
    <mergeCell ref="BX654:CB654"/>
    <mergeCell ref="Z651:AK651"/>
    <mergeCell ref="CH652:CL652"/>
    <mergeCell ref="CH653:CL653"/>
    <mergeCell ref="CH654:CL654"/>
    <mergeCell ref="CM652:CQ652"/>
    <mergeCell ref="CM653:CQ653"/>
    <mergeCell ref="CM654:CQ654"/>
    <mergeCell ref="BN652:BR652"/>
    <mergeCell ref="BN653:BR653"/>
    <mergeCell ref="BN654:BR654"/>
    <mergeCell ref="BN650:BR650"/>
    <mergeCell ref="DC653:DG653"/>
    <mergeCell ref="CC649:CG649"/>
    <mergeCell ref="CH649:CL649"/>
    <mergeCell ref="BN660:BR660"/>
    <mergeCell ref="CX655:DB655"/>
    <mergeCell ref="DC655:DG655"/>
    <mergeCell ref="AI687:AK687"/>
    <mergeCell ref="AE696:AI696"/>
    <mergeCell ref="AG665:AH665"/>
    <mergeCell ref="AH719:AJ719"/>
    <mergeCell ref="Z669:AK669"/>
    <mergeCell ref="E707:AK707"/>
    <mergeCell ref="DR654:DV654"/>
    <mergeCell ref="DR653:DV653"/>
    <mergeCell ref="BX649:CB649"/>
    <mergeCell ref="BX650:CB650"/>
    <mergeCell ref="CH648:CL648"/>
    <mergeCell ref="CC648:CG648"/>
    <mergeCell ref="DR649:DV649"/>
    <mergeCell ref="DR652:DV652"/>
    <mergeCell ref="BN649:BR649"/>
    <mergeCell ref="BN648:BR648"/>
    <mergeCell ref="CX651:DB651"/>
    <mergeCell ref="BS651:BW651"/>
    <mergeCell ref="DR650:DV650"/>
    <mergeCell ref="DH648:DL648"/>
    <mergeCell ref="DM648:DQ648"/>
    <mergeCell ref="DR648:DV648"/>
    <mergeCell ref="DR651:DV651"/>
    <mergeCell ref="DC651:DG651"/>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DH652:DL652"/>
    <mergeCell ref="DM652:DQ652"/>
    <mergeCell ref="CS653:CW653"/>
    <mergeCell ref="CX653:DB653"/>
    <mergeCell ref="CS654:CW654"/>
    <mergeCell ref="CX654:DB654"/>
    <mergeCell ref="DC654:DG654"/>
    <mergeCell ref="BS653:BW653"/>
    <mergeCell ref="BN651:BR651"/>
    <mergeCell ref="DR655:DV655"/>
    <mergeCell ref="CC655:CG655"/>
    <mergeCell ref="CH655:CL655"/>
    <mergeCell ref="CM655:CQ655"/>
    <mergeCell ref="DH651:DL651"/>
    <mergeCell ref="DM651:DQ651"/>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DH646:DL646"/>
    <mergeCell ref="BX632:CB632"/>
    <mergeCell ref="BS648:BW648"/>
    <mergeCell ref="CS652:CW652"/>
    <mergeCell ref="CX652:DB652"/>
    <mergeCell ref="DC652:DG652"/>
    <mergeCell ref="DC650:DG650"/>
    <mergeCell ref="DM645:DQ645"/>
    <mergeCell ref="DR645:DV645"/>
    <mergeCell ref="CC645:CG645"/>
    <mergeCell ref="DC649:DG649"/>
    <mergeCell ref="CC626:CG626"/>
    <mergeCell ref="DR647:DV647"/>
    <mergeCell ref="DM646:DQ646"/>
    <mergeCell ref="DR646:DV646"/>
    <mergeCell ref="CM650:CQ650"/>
    <mergeCell ref="CC647:CG647"/>
    <mergeCell ref="CS649:CW649"/>
    <mergeCell ref="CX648:DB648"/>
    <mergeCell ref="DC648:DG648"/>
    <mergeCell ref="DC626:DG626"/>
    <mergeCell ref="DH626:DL626"/>
    <mergeCell ref="DR628:DV628"/>
    <mergeCell ref="CS629:CW629"/>
    <mergeCell ref="CX629:DB629"/>
    <mergeCell ref="DC629:DG629"/>
    <mergeCell ref="CS647:CW647"/>
    <mergeCell ref="CX647:DB647"/>
    <mergeCell ref="DC647:DG647"/>
    <mergeCell ref="CM648:CQ648"/>
    <mergeCell ref="CS648:CW648"/>
    <mergeCell ref="CS650:CW650"/>
    <mergeCell ref="CX650:DB650"/>
    <mergeCell ref="DR626:DV626"/>
    <mergeCell ref="CS627:CW627"/>
    <mergeCell ref="CX627:DB627"/>
    <mergeCell ref="DC627:DG627"/>
    <mergeCell ref="DH627:DL627"/>
    <mergeCell ref="DM627:DQ627"/>
    <mergeCell ref="DM617:DQ617"/>
    <mergeCell ref="CH619:CL619"/>
    <mergeCell ref="CX618:DB618"/>
    <mergeCell ref="DC618:DG618"/>
    <mergeCell ref="DH645:DL645"/>
    <mergeCell ref="BX646:CB646"/>
    <mergeCell ref="CM632:CQ632"/>
    <mergeCell ref="AO627:AS627"/>
    <mergeCell ref="CM617:CQ617"/>
    <mergeCell ref="CC619:CG619"/>
    <mergeCell ref="DM619:DQ619"/>
    <mergeCell ref="CM625:CQ625"/>
    <mergeCell ref="BX625:CB625"/>
    <mergeCell ref="CC623:CG623"/>
    <mergeCell ref="CC629:CG629"/>
    <mergeCell ref="CH629:CL629"/>
    <mergeCell ref="CM638:CQ638"/>
    <mergeCell ref="DM631:DQ631"/>
    <mergeCell ref="DH631:DL631"/>
    <mergeCell ref="CC625:CG625"/>
    <mergeCell ref="CM629:CQ629"/>
    <mergeCell ref="CS620:CW620"/>
    <mergeCell ref="CX620:DB620"/>
    <mergeCell ref="CH626:CL626"/>
    <mergeCell ref="CM626:CQ626"/>
    <mergeCell ref="CS624:CW624"/>
    <mergeCell ref="CX624:DB624"/>
    <mergeCell ref="CS632:CW632"/>
    <mergeCell ref="CM645:CQ645"/>
    <mergeCell ref="CH639:CL639"/>
    <mergeCell ref="CX646:DB646"/>
    <mergeCell ref="CH646:CL646"/>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C646:CG646"/>
    <mergeCell ref="DH647:DL647"/>
    <mergeCell ref="DM647:DQ647"/>
    <mergeCell ref="CX632:DB632"/>
    <mergeCell ref="CM647:CQ647"/>
    <mergeCell ref="CM646:CQ646"/>
    <mergeCell ref="BX647:CB647"/>
    <mergeCell ref="CC638:CG638"/>
    <mergeCell ref="CC621:CG621"/>
    <mergeCell ref="CH621:CL621"/>
    <mergeCell ref="CM621:CQ621"/>
    <mergeCell ref="CC622:CG622"/>
    <mergeCell ref="CH622:CL622"/>
    <mergeCell ref="CM622:CQ622"/>
    <mergeCell ref="CC630:CG630"/>
    <mergeCell ref="CM618:CQ618"/>
    <mergeCell ref="CM623:CQ623"/>
    <mergeCell ref="EC616:EG616"/>
    <mergeCell ref="EH641:EL641"/>
    <mergeCell ref="EM641:EQ641"/>
    <mergeCell ref="EM619:EQ619"/>
    <mergeCell ref="EC637:EG637"/>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AK629:AN629"/>
    <mergeCell ref="AK633:AN633"/>
    <mergeCell ref="AF632:AJ632"/>
    <mergeCell ref="AO637:AS637"/>
    <mergeCell ref="DC631:DG631"/>
    <mergeCell ref="CS618:CW618"/>
    <mergeCell ref="AO630:AS630"/>
    <mergeCell ref="EM636:EQ636"/>
    <mergeCell ref="DX637:EB637"/>
    <mergeCell ref="DR619:DV619"/>
    <mergeCell ref="Z636:AB636"/>
    <mergeCell ref="Z637:AB637"/>
    <mergeCell ref="Z638:AB638"/>
    <mergeCell ref="DX664:EB664"/>
    <mergeCell ref="ER619:EV619"/>
    <mergeCell ref="ER612:EV612"/>
    <mergeCell ref="Z627:AB627"/>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EH619:EL619"/>
    <mergeCell ref="DR616:DV616"/>
    <mergeCell ref="CX616:DB616"/>
    <mergeCell ref="DC632:DG632"/>
    <mergeCell ref="DH632:DL632"/>
    <mergeCell ref="CM619:CQ619"/>
    <mergeCell ref="BI624:BJ624"/>
    <mergeCell ref="CC617:CG617"/>
    <mergeCell ref="ER618:EV618"/>
    <mergeCell ref="CM630:CQ630"/>
    <mergeCell ref="CM631:CQ631"/>
    <mergeCell ref="ER630:EV630"/>
    <mergeCell ref="EM663:EQ663"/>
    <mergeCell ref="ER663:EV663"/>
    <mergeCell ref="EW663:FA663"/>
    <mergeCell ref="EW641:FA641"/>
    <mergeCell ref="DX642:EB642"/>
    <mergeCell ref="EC642:EG642"/>
    <mergeCell ref="EH642:EL642"/>
    <mergeCell ref="EM642:EQ642"/>
    <mergeCell ref="ER642:EV642"/>
    <mergeCell ref="DX641:EB641"/>
    <mergeCell ref="EW657:FA657"/>
    <mergeCell ref="DX668:EB668"/>
    <mergeCell ref="EC668:EG668"/>
    <mergeCell ref="EH668:EL668"/>
    <mergeCell ref="EM668:EQ668"/>
    <mergeCell ref="EW668:FA668"/>
    <mergeCell ref="ER646:EV646"/>
    <mergeCell ref="EW646:FA646"/>
    <mergeCell ref="EW653:FA653"/>
    <mergeCell ref="EW654:FA654"/>
    <mergeCell ref="EM662:EQ662"/>
    <mergeCell ref="ER662:EV662"/>
    <mergeCell ref="EW645:FA645"/>
    <mergeCell ref="DX656:EB656"/>
    <mergeCell ref="EC656:EG656"/>
    <mergeCell ref="DX651:EB651"/>
    <mergeCell ref="EC651:EG651"/>
    <mergeCell ref="EM649:EQ649"/>
    <mergeCell ref="ER656:EV656"/>
    <mergeCell ref="DX649:EB649"/>
    <mergeCell ref="EH649:EL649"/>
    <mergeCell ref="DX655:EB655"/>
    <mergeCell ref="EC659:EG659"/>
    <mergeCell ref="EH659:EL659"/>
    <mergeCell ref="CS655:CW655"/>
    <mergeCell ref="EW669:FA669"/>
    <mergeCell ref="EH653:EL653"/>
    <mergeCell ref="EM653:EQ653"/>
    <mergeCell ref="ER653:EV653"/>
    <mergeCell ref="EW647:FA647"/>
    <mergeCell ref="EW655:FA655"/>
    <mergeCell ref="EW650:FA650"/>
    <mergeCell ref="EW648:FA648"/>
    <mergeCell ref="EW651:FA651"/>
    <mergeCell ref="DX645:EB645"/>
    <mergeCell ref="EW649:FA649"/>
    <mergeCell ref="EW652:FA652"/>
    <mergeCell ref="EC670:EG670"/>
    <mergeCell ref="EH670:EL670"/>
    <mergeCell ref="EC669:EG669"/>
    <mergeCell ref="EH669:EL669"/>
    <mergeCell ref="EM669:EQ669"/>
    <mergeCell ref="ER661:EV661"/>
    <mergeCell ref="EW661:FA661"/>
    <mergeCell ref="DX665:EB665"/>
    <mergeCell ref="EC665:EG665"/>
    <mergeCell ref="EH665:EL665"/>
    <mergeCell ref="EM665:EQ665"/>
    <mergeCell ref="ER665:EV665"/>
    <mergeCell ref="EW665:FA665"/>
    <mergeCell ref="EW662:FA662"/>
    <mergeCell ref="DX663:EB663"/>
    <mergeCell ref="EC663:EG663"/>
    <mergeCell ref="EH663:EL663"/>
    <mergeCell ref="EM661:EQ661"/>
    <mergeCell ref="ER670:EV670"/>
    <mergeCell ref="DX669:EB669"/>
    <mergeCell ref="CC660:CG660"/>
    <mergeCell ref="BS660:BW660"/>
    <mergeCell ref="EH655:EL655"/>
    <mergeCell ref="EM655:EQ655"/>
    <mergeCell ref="EH647:EL647"/>
    <mergeCell ref="EM647:EQ647"/>
    <mergeCell ref="DX648:EB648"/>
    <mergeCell ref="BX651:CB651"/>
    <mergeCell ref="CC651:CG651"/>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DX660:EB660"/>
    <mergeCell ref="EC660:EG660"/>
    <mergeCell ref="EH660:EL660"/>
    <mergeCell ref="EM660:EQ660"/>
    <mergeCell ref="EM659:EQ659"/>
    <mergeCell ref="ER659:EV659"/>
    <mergeCell ref="EW659:FA659"/>
    <mergeCell ref="EW640:FA640"/>
    <mergeCell ref="ER643:EV643"/>
    <mergeCell ref="ER640:EV640"/>
    <mergeCell ref="ER639:EV639"/>
    <mergeCell ref="EW637:FA637"/>
    <mergeCell ref="EC645:EG645"/>
    <mergeCell ref="ER645:EV645"/>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M667:EQ667"/>
    <mergeCell ref="ER667:EV667"/>
    <mergeCell ref="EW667:FA667"/>
    <mergeCell ref="EM657:EQ657"/>
    <mergeCell ref="ER657:EV657"/>
    <mergeCell ref="EM654:EQ654"/>
    <mergeCell ref="ER654:EV654"/>
    <mergeCell ref="EM652:EQ652"/>
    <mergeCell ref="DX650:EB650"/>
    <mergeCell ref="EC650:EG650"/>
    <mergeCell ref="EC655:EG655"/>
    <mergeCell ref="EW644:FA644"/>
    <mergeCell ref="EC641:EG641"/>
    <mergeCell ref="EC643:EG643"/>
    <mergeCell ref="EH643:EL643"/>
    <mergeCell ref="EM643:EQ643"/>
    <mergeCell ref="EC648:EG648"/>
    <mergeCell ref="DX643:EB643"/>
    <mergeCell ref="EW639:FA639"/>
    <mergeCell ref="DX640:EB640"/>
    <mergeCell ref="EC640:EG640"/>
    <mergeCell ref="DX647:EB647"/>
    <mergeCell ref="EC647:EG647"/>
    <mergeCell ref="EH656:EL656"/>
    <mergeCell ref="EM656:EQ656"/>
    <mergeCell ref="EC615:EG615"/>
    <mergeCell ref="EH615:EL615"/>
    <mergeCell ref="EC609:EG609"/>
    <mergeCell ref="EH609:EL609"/>
    <mergeCell ref="EM609:EQ609"/>
    <mergeCell ref="DX646:EB646"/>
    <mergeCell ref="EC646:EG646"/>
    <mergeCell ref="EH646:EL646"/>
    <mergeCell ref="EM648:EQ648"/>
    <mergeCell ref="ER651:EV651"/>
    <mergeCell ref="ER652:EV652"/>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W638:FA638"/>
    <mergeCell ref="ER648:EV648"/>
    <mergeCell ref="EC608:EG608"/>
    <mergeCell ref="EH608:EL608"/>
    <mergeCell ref="EM608:EQ608"/>
    <mergeCell ref="ER608:EV608"/>
    <mergeCell ref="EW608:FA608"/>
    <mergeCell ref="EM640:EQ640"/>
    <mergeCell ref="DX639:EB639"/>
    <mergeCell ref="EW619:FA619"/>
    <mergeCell ref="EC630:EG630"/>
    <mergeCell ref="EH630:EL630"/>
    <mergeCell ref="EM630:EQ630"/>
    <mergeCell ref="EC631:EG631"/>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H614:EL614"/>
    <mergeCell ref="EM614:EQ614"/>
    <mergeCell ref="ER614:EV614"/>
    <mergeCell ref="EW614:FA614"/>
    <mergeCell ref="DX615:EB615"/>
    <mergeCell ref="EW605:FA605"/>
    <mergeCell ref="DX606:EB606"/>
    <mergeCell ref="EC606:EG606"/>
    <mergeCell ref="EH606:EL606"/>
    <mergeCell ref="EM606:EQ606"/>
    <mergeCell ref="ER606:EV606"/>
    <mergeCell ref="EW606:FA606"/>
    <mergeCell ref="DX617:EB617"/>
    <mergeCell ref="EC617:EG617"/>
    <mergeCell ref="EH617:EL617"/>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ER609:EV609"/>
    <mergeCell ref="EH616:EL616"/>
    <mergeCell ref="EW607:FA607"/>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604:EB604"/>
    <mergeCell ref="EC604:EG604"/>
    <mergeCell ref="EH604:EL604"/>
    <mergeCell ref="EM604:EQ604"/>
    <mergeCell ref="ER604:EV604"/>
    <mergeCell ref="EW604:FA604"/>
    <mergeCell ref="EW616:FA616"/>
    <mergeCell ref="DX612:EB612"/>
    <mergeCell ref="EC612:EG612"/>
    <mergeCell ref="EH612:EL612"/>
    <mergeCell ref="EM612:EQ612"/>
    <mergeCell ref="EW613:FA613"/>
    <mergeCell ref="DX614:EB614"/>
    <mergeCell ref="EC614:EG614"/>
    <mergeCell ref="DX607:EB607"/>
    <mergeCell ref="EC607:EG607"/>
    <mergeCell ref="EH607:EL607"/>
    <mergeCell ref="EM607:EQ607"/>
    <mergeCell ref="ER607:EV607"/>
    <mergeCell ref="EW601:FA601"/>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EC601:EG601"/>
    <mergeCell ref="EH601:EL601"/>
    <mergeCell ref="EM601:EQ601"/>
    <mergeCell ref="ER601:EV601"/>
    <mergeCell ref="AJ984:AQ984"/>
    <mergeCell ref="J956:S956"/>
    <mergeCell ref="AJ1012:AQ1014"/>
    <mergeCell ref="AJ1015:AQ1018"/>
    <mergeCell ref="AJ1024:AQ1027"/>
    <mergeCell ref="AJ986:AQ986"/>
    <mergeCell ref="AJ987:AQ987"/>
    <mergeCell ref="B991:AI991"/>
    <mergeCell ref="R986:AA986"/>
    <mergeCell ref="DX599:EB599"/>
    <mergeCell ref="EC599:EG599"/>
    <mergeCell ref="EH599:EL599"/>
    <mergeCell ref="EM599:EQ599"/>
    <mergeCell ref="ER599:EV599"/>
    <mergeCell ref="D1021:AE1022"/>
    <mergeCell ref="J1023:AE1023"/>
    <mergeCell ref="DX602:EB602"/>
    <mergeCell ref="EC602:EG602"/>
    <mergeCell ref="EH602:EL602"/>
    <mergeCell ref="EM602:EQ602"/>
    <mergeCell ref="ER602:EV602"/>
    <mergeCell ref="DX605:EB605"/>
    <mergeCell ref="EC605:EG605"/>
    <mergeCell ref="EH605:EL605"/>
    <mergeCell ref="EM605:EQ605"/>
    <mergeCell ref="ER605:EV605"/>
    <mergeCell ref="EM616:EQ616"/>
    <mergeCell ref="EH613:EL613"/>
    <mergeCell ref="EM613:EQ613"/>
    <mergeCell ref="ER613:EV613"/>
    <mergeCell ref="DX631:EB631"/>
    <mergeCell ref="DX616:EB616"/>
    <mergeCell ref="DX608:EB608"/>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J1006:AQ1009"/>
    <mergeCell ref="AJ1010:AQ1011"/>
    <mergeCell ref="AJ1000:AQ1005"/>
    <mergeCell ref="AJ1019:AQ1023"/>
    <mergeCell ref="D1019:AE1020"/>
    <mergeCell ref="AB990:AI990"/>
    <mergeCell ref="D1024:AE1024"/>
    <mergeCell ref="D1001:AE1005"/>
    <mergeCell ref="D1010:AE1010"/>
    <mergeCell ref="D1011:AE1011"/>
    <mergeCell ref="AF1026:AI1027"/>
    <mergeCell ref="F915:T916"/>
    <mergeCell ref="AA930:AF930"/>
    <mergeCell ref="U931:Z931"/>
    <mergeCell ref="AA931:AF931"/>
    <mergeCell ref="F937:T937"/>
    <mergeCell ref="AB984:AI984"/>
    <mergeCell ref="AB985:AI985"/>
    <mergeCell ref="AB986:AI986"/>
    <mergeCell ref="D986:Q986"/>
    <mergeCell ref="R988:AA988"/>
    <mergeCell ref="AB987:AI987"/>
    <mergeCell ref="D987:Q987"/>
    <mergeCell ref="D988:Q988"/>
    <mergeCell ref="R987:AA987"/>
    <mergeCell ref="AA966:AG966"/>
    <mergeCell ref="AA972:AG972"/>
    <mergeCell ref="AE961:AK961"/>
    <mergeCell ref="AJ985:AQ985"/>
    <mergeCell ref="AA967:AG967"/>
    <mergeCell ref="AE954:AK954"/>
    <mergeCell ref="I949:T949"/>
    <mergeCell ref="D994:AE997"/>
    <mergeCell ref="D998:AE998"/>
    <mergeCell ref="M970:S970"/>
    <mergeCell ref="M955:S955"/>
    <mergeCell ref="R984:AA984"/>
    <mergeCell ref="A978:AT980"/>
    <mergeCell ref="AG1024:AH1024"/>
    <mergeCell ref="AF1025:AI1025"/>
    <mergeCell ref="D1083:AK1085"/>
    <mergeCell ref="K731:N731"/>
    <mergeCell ref="T740:W740"/>
    <mergeCell ref="G741:J741"/>
    <mergeCell ref="T793:W793"/>
    <mergeCell ref="G739:J739"/>
    <mergeCell ref="T745:W745"/>
    <mergeCell ref="B739:F739"/>
    <mergeCell ref="K735:N735"/>
    <mergeCell ref="K736:N736"/>
    <mergeCell ref="T742:W742"/>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U914:Z916"/>
    <mergeCell ref="U949:Z949"/>
    <mergeCell ref="AA974:AG974"/>
    <mergeCell ref="AA944:AF944"/>
    <mergeCell ref="U917:Z917"/>
    <mergeCell ref="D1000:AE1000"/>
    <mergeCell ref="J779:K779"/>
    <mergeCell ref="J787:N787"/>
    <mergeCell ref="G738:J738"/>
    <mergeCell ref="O750:S750"/>
    <mergeCell ref="U831:X831"/>
    <mergeCell ref="Q831:T831"/>
    <mergeCell ref="X740:AB740"/>
    <mergeCell ref="C828:H828"/>
    <mergeCell ref="M828:P828"/>
    <mergeCell ref="C827:H827"/>
    <mergeCell ref="K743:N743"/>
    <mergeCell ref="O743:S743"/>
    <mergeCell ref="AH738:AJ738"/>
    <mergeCell ref="AH736:AJ736"/>
    <mergeCell ref="U823:X824"/>
    <mergeCell ref="Z806:AE806"/>
    <mergeCell ref="B751:F751"/>
    <mergeCell ref="T750:W750"/>
    <mergeCell ref="K751:N751"/>
    <mergeCell ref="O751:S751"/>
    <mergeCell ref="T751:W751"/>
    <mergeCell ref="B742:F742"/>
    <mergeCell ref="B743:F743"/>
    <mergeCell ref="AG830:AJ830"/>
    <mergeCell ref="J788:N788"/>
    <mergeCell ref="T741:W741"/>
    <mergeCell ref="C829:H829"/>
    <mergeCell ref="K746:N746"/>
    <mergeCell ref="O746:S746"/>
    <mergeCell ref="T746:W746"/>
    <mergeCell ref="K747:N747"/>
    <mergeCell ref="O747:S747"/>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D1086:AK1090"/>
    <mergeCell ref="Z814:AE814"/>
    <mergeCell ref="Y831:AB831"/>
    <mergeCell ref="O752:S752"/>
    <mergeCell ref="AC828:AF828"/>
    <mergeCell ref="AG829:AJ829"/>
    <mergeCell ref="X752:AB752"/>
    <mergeCell ref="T743:W743"/>
    <mergeCell ref="K744:N744"/>
    <mergeCell ref="O744:S744"/>
    <mergeCell ref="AC742:AG742"/>
    <mergeCell ref="AC743:AG743"/>
    <mergeCell ref="AC744:AG744"/>
    <mergeCell ref="AC745:AG745"/>
    <mergeCell ref="AC746:AG746"/>
    <mergeCell ref="AC747:AG747"/>
    <mergeCell ref="K748:N748"/>
    <mergeCell ref="O748:S748"/>
    <mergeCell ref="O790:S790"/>
    <mergeCell ref="O756:R756"/>
    <mergeCell ref="AG756:AJ756"/>
    <mergeCell ref="T752:W752"/>
    <mergeCell ref="J776:N776"/>
    <mergeCell ref="AG825:AJ825"/>
    <mergeCell ref="AC794:AG794"/>
    <mergeCell ref="AC795:AG795"/>
    <mergeCell ref="O793:S793"/>
    <mergeCell ref="J790:N790"/>
    <mergeCell ref="AC789:AG789"/>
    <mergeCell ref="J774:N774"/>
    <mergeCell ref="M829:P829"/>
    <mergeCell ref="Z815:AE815"/>
    <mergeCell ref="Z808:AE808"/>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D1070:AK1075"/>
    <mergeCell ref="J792:N792"/>
    <mergeCell ref="J793:N793"/>
    <mergeCell ref="AC729:AG729"/>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W842:AC842"/>
    <mergeCell ref="W847:AC847"/>
    <mergeCell ref="O797:S797"/>
    <mergeCell ref="M871:V871"/>
    <mergeCell ref="AA946:AF946"/>
    <mergeCell ref="D1098:AK1102"/>
    <mergeCell ref="D1064:AK1069"/>
    <mergeCell ref="J773:N773"/>
    <mergeCell ref="O773:S773"/>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A970:AG970"/>
    <mergeCell ref="AA924:AF924"/>
    <mergeCell ref="AE957:AK957"/>
    <mergeCell ref="AG826:AJ826"/>
    <mergeCell ref="AA942:AF942"/>
    <mergeCell ref="AE955:AK955"/>
    <mergeCell ref="AA948:AF948"/>
    <mergeCell ref="U940:Z940"/>
    <mergeCell ref="AC885:AH885"/>
    <mergeCell ref="W861:AC861"/>
    <mergeCell ref="C894:AB894"/>
    <mergeCell ref="Z898:AE898"/>
    <mergeCell ref="W872:AC872"/>
    <mergeCell ref="AC884:AH884"/>
    <mergeCell ref="AC888:AH888"/>
    <mergeCell ref="M875:V875"/>
    <mergeCell ref="W877:AC877"/>
    <mergeCell ref="F938:T938"/>
    <mergeCell ref="F939:T939"/>
    <mergeCell ref="C832:L832"/>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M957:S957"/>
    <mergeCell ref="AA971:AG971"/>
    <mergeCell ref="AA919:AF919"/>
    <mergeCell ref="AA918:AF918"/>
    <mergeCell ref="T972:Z972"/>
    <mergeCell ref="I946:T946"/>
    <mergeCell ref="U922:Z922"/>
    <mergeCell ref="AA968:AG968"/>
    <mergeCell ref="AA935:AF935"/>
    <mergeCell ref="U942:Z942"/>
    <mergeCell ref="BG848:BL848"/>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C831:AF831"/>
    <mergeCell ref="BS647:BW647"/>
    <mergeCell ref="BN647:BR647"/>
    <mergeCell ref="BX648:CB648"/>
    <mergeCell ref="CH647:CL647"/>
    <mergeCell ref="Y823:AB824"/>
    <mergeCell ref="AK742:AO742"/>
    <mergeCell ref="X742:AB742"/>
    <mergeCell ref="X791:AB791"/>
    <mergeCell ref="B754:AH755"/>
    <mergeCell ref="T733:W733"/>
    <mergeCell ref="O734:S734"/>
    <mergeCell ref="K739:N739"/>
    <mergeCell ref="AC734:AG734"/>
    <mergeCell ref="AC735:AG735"/>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DM616:DQ616"/>
    <mergeCell ref="CS616:CW616"/>
    <mergeCell ref="CS614:CW614"/>
    <mergeCell ref="CX613:DB613"/>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CM596:CQ596"/>
    <mergeCell ref="CM597:CQ597"/>
    <mergeCell ref="BN605:BR605"/>
    <mergeCell ref="CC608:CG608"/>
    <mergeCell ref="AM558:AS558"/>
    <mergeCell ref="AM566:AS566"/>
    <mergeCell ref="AM556:AS556"/>
    <mergeCell ref="M358:N358"/>
    <mergeCell ref="Z577:AK577"/>
    <mergeCell ref="AE565:AH565"/>
    <mergeCell ref="AD412:AE412"/>
    <mergeCell ref="H414:AE415"/>
    <mergeCell ref="AE425:AF425"/>
    <mergeCell ref="I410:AE410"/>
    <mergeCell ref="Z558:AD558"/>
    <mergeCell ref="V381:W381"/>
    <mergeCell ref="T555:V555"/>
    <mergeCell ref="W559:Y559"/>
    <mergeCell ref="P421:R421"/>
    <mergeCell ref="AI564:AL564"/>
    <mergeCell ref="S402:U402"/>
    <mergeCell ref="P425:Q425"/>
    <mergeCell ref="I418:K418"/>
    <mergeCell ref="S413:T413"/>
    <mergeCell ref="K404:AJ404"/>
    <mergeCell ref="N372:Q372"/>
    <mergeCell ref="M565:P565"/>
    <mergeCell ref="T563:V563"/>
    <mergeCell ref="Q563:S563"/>
    <mergeCell ref="AM563:AS563"/>
    <mergeCell ref="AH537:AK537"/>
    <mergeCell ref="AC534:AF534"/>
    <mergeCell ref="Q556:S556"/>
    <mergeCell ref="AH542:AK542"/>
    <mergeCell ref="CM598:CQ598"/>
    <mergeCell ref="CM599:CQ599"/>
    <mergeCell ref="Z597:AE597"/>
    <mergeCell ref="AJ356:AK356"/>
    <mergeCell ref="BX600:CB600"/>
    <mergeCell ref="AG390:AJ390"/>
    <mergeCell ref="M563:P563"/>
    <mergeCell ref="AM559:AS559"/>
    <mergeCell ref="C560:L560"/>
    <mergeCell ref="T558:V558"/>
    <mergeCell ref="W561:Y561"/>
    <mergeCell ref="W562:Y562"/>
    <mergeCell ref="W563:Y563"/>
    <mergeCell ref="W564:Y564"/>
    <mergeCell ref="T560:V560"/>
    <mergeCell ref="Z561:AD561"/>
    <mergeCell ref="M561:P561"/>
    <mergeCell ref="AI555:AL555"/>
    <mergeCell ref="T559:V559"/>
    <mergeCell ref="AI556:AL556"/>
    <mergeCell ref="I421:K421"/>
    <mergeCell ref="T564:V564"/>
    <mergeCell ref="AC532:AF532"/>
    <mergeCell ref="O535:AA535"/>
    <mergeCell ref="AH523:AK523"/>
    <mergeCell ref="O532:AA532"/>
    <mergeCell ref="Q391:U391"/>
    <mergeCell ref="AD377:AE377"/>
    <mergeCell ref="AC371:AF371"/>
    <mergeCell ref="Q390:U390"/>
    <mergeCell ref="H573:R573"/>
    <mergeCell ref="B566:AL566"/>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C564:L564"/>
    <mergeCell ref="M564:P564"/>
    <mergeCell ref="C565:L565"/>
    <mergeCell ref="AM565:AS565"/>
    <mergeCell ref="AE563:AH563"/>
    <mergeCell ref="C562:L562"/>
    <mergeCell ref="Q560:S560"/>
    <mergeCell ref="Q565:S565"/>
    <mergeCell ref="Q561:S561"/>
    <mergeCell ref="AE554:AH554"/>
    <mergeCell ref="Z556:AD556"/>
    <mergeCell ref="Z564:AD564"/>
    <mergeCell ref="AF627:AJ627"/>
    <mergeCell ref="P613:R613"/>
    <mergeCell ref="G577:R577"/>
    <mergeCell ref="G594:R594"/>
    <mergeCell ref="N615:O615"/>
    <mergeCell ref="AC633:AE633"/>
    <mergeCell ref="AA573:AK573"/>
    <mergeCell ref="Z594:AK594"/>
    <mergeCell ref="G601:R601"/>
    <mergeCell ref="Q633:S633"/>
    <mergeCell ref="T627:V627"/>
    <mergeCell ref="T628:V628"/>
    <mergeCell ref="M628:P628"/>
    <mergeCell ref="G595:R595"/>
    <mergeCell ref="AG583:AH583"/>
    <mergeCell ref="H582:R582"/>
    <mergeCell ref="Z578:AK578"/>
    <mergeCell ref="Z580:AK580"/>
    <mergeCell ref="P572:R572"/>
    <mergeCell ref="Z586:AK586"/>
    <mergeCell ref="Z589:AE589"/>
    <mergeCell ref="T629:V629"/>
    <mergeCell ref="C631:L631"/>
    <mergeCell ref="T631:V631"/>
    <mergeCell ref="T632:V632"/>
    <mergeCell ref="T633:V633"/>
    <mergeCell ref="AF631:AJ631"/>
    <mergeCell ref="Z593:AK593"/>
    <mergeCell ref="G610:R610"/>
    <mergeCell ref="G609:R609"/>
    <mergeCell ref="W627:Y627"/>
    <mergeCell ref="BG607:BH607"/>
    <mergeCell ref="CH610:CL610"/>
    <mergeCell ref="CH608:CL608"/>
    <mergeCell ref="BS609:BW609"/>
    <mergeCell ref="BI607:BJ607"/>
    <mergeCell ref="BX610:CB610"/>
    <mergeCell ref="BI610:BJ610"/>
    <mergeCell ref="BN607:BR607"/>
    <mergeCell ref="BS607:BW607"/>
    <mergeCell ref="BN609:BR609"/>
    <mergeCell ref="CH615:CL615"/>
    <mergeCell ref="CC615:CG615"/>
    <mergeCell ref="AG591:AH591"/>
    <mergeCell ref="P605:R605"/>
    <mergeCell ref="AF574:AK574"/>
    <mergeCell ref="Z585:AK585"/>
    <mergeCell ref="AC630:AE630"/>
    <mergeCell ref="Q627:S627"/>
    <mergeCell ref="CH606:CL606"/>
    <mergeCell ref="CH605:CL605"/>
    <mergeCell ref="CC605:CG605"/>
    <mergeCell ref="CC606:CG606"/>
    <mergeCell ref="W624:Y626"/>
    <mergeCell ref="W628:Y628"/>
    <mergeCell ref="W629:Y629"/>
    <mergeCell ref="M630:P630"/>
    <mergeCell ref="Q629:S629"/>
    <mergeCell ref="Q630:S630"/>
    <mergeCell ref="G596:R596"/>
    <mergeCell ref="Z595:AK595"/>
    <mergeCell ref="C628:L628"/>
    <mergeCell ref="AF624:AJ626"/>
    <mergeCell ref="CM611:CQ611"/>
    <mergeCell ref="BG617:BH617"/>
    <mergeCell ref="BS615:BW615"/>
    <mergeCell ref="BS620:BW620"/>
    <mergeCell ref="BX620:CB620"/>
    <mergeCell ref="CC616:CG616"/>
    <mergeCell ref="CC618:CG618"/>
    <mergeCell ref="BX614:CB614"/>
    <mergeCell ref="CC611:CG611"/>
    <mergeCell ref="BS612:BW612"/>
    <mergeCell ref="BN616:BR616"/>
    <mergeCell ref="BE618:BF618"/>
    <mergeCell ref="BE619:BF619"/>
    <mergeCell ref="BI616:BJ616"/>
    <mergeCell ref="BE611:BF611"/>
    <mergeCell ref="BN613:BR613"/>
    <mergeCell ref="BN611:BR611"/>
    <mergeCell ref="BE617:BF617"/>
    <mergeCell ref="BE615:BF615"/>
    <mergeCell ref="BG619:BH619"/>
    <mergeCell ref="CH618:CL618"/>
    <mergeCell ref="BI619:BJ619"/>
    <mergeCell ref="CM616:CQ616"/>
    <mergeCell ref="BX616:CB616"/>
    <mergeCell ref="CC612:CG612"/>
    <mergeCell ref="BS614:BW614"/>
    <mergeCell ref="BE616:BF616"/>
    <mergeCell ref="BN620:BR620"/>
    <mergeCell ref="CH617:CL617"/>
    <mergeCell ref="BG613:BH613"/>
    <mergeCell ref="BK615:BL615"/>
    <mergeCell ref="CC614:CG614"/>
    <mergeCell ref="BK611:BL611"/>
    <mergeCell ref="BG608:BH608"/>
    <mergeCell ref="BI623:BJ623"/>
    <mergeCell ref="CH625:CL625"/>
    <mergeCell ref="CH630:CL630"/>
    <mergeCell ref="BI615:BJ615"/>
    <mergeCell ref="BI617:BJ617"/>
    <mergeCell ref="BG622:BH622"/>
    <mergeCell ref="BS630:BW630"/>
    <mergeCell ref="BS613:BW613"/>
    <mergeCell ref="BS610:BW610"/>
    <mergeCell ref="BX612:CB612"/>
    <mergeCell ref="BX615:CB615"/>
    <mergeCell ref="BK610:BL610"/>
    <mergeCell ref="BG611:BH611"/>
    <mergeCell ref="BN610:BR610"/>
    <mergeCell ref="BI612:BJ612"/>
    <mergeCell ref="BK612:BL612"/>
    <mergeCell ref="BG612:BH612"/>
    <mergeCell ref="BS616:BW616"/>
    <mergeCell ref="CH612:CL612"/>
    <mergeCell ref="BX613:CB613"/>
    <mergeCell ref="BI618:BJ618"/>
    <mergeCell ref="CC620:CG620"/>
    <mergeCell ref="CC613:CG613"/>
    <mergeCell ref="BG614:BH614"/>
    <mergeCell ref="BN617:BR617"/>
    <mergeCell ref="CH611:CL611"/>
    <mergeCell ref="BS611:BW611"/>
    <mergeCell ref="BG609:BH609"/>
    <mergeCell ref="BS617:BW617"/>
    <mergeCell ref="BI611:BJ611"/>
    <mergeCell ref="CC640:CG640"/>
    <mergeCell ref="CM633:CQ633"/>
    <mergeCell ref="CC632:CG632"/>
    <mergeCell ref="CM637:CQ637"/>
    <mergeCell ref="AC634:AE634"/>
    <mergeCell ref="BX630:CB630"/>
    <mergeCell ref="BG630:BH630"/>
    <mergeCell ref="BN614:BR614"/>
    <mergeCell ref="C630:L630"/>
    <mergeCell ref="BK619:BL619"/>
    <mergeCell ref="BK614:BL614"/>
    <mergeCell ref="BI613:BJ613"/>
    <mergeCell ref="BK613:BL613"/>
    <mergeCell ref="CH616:CL616"/>
    <mergeCell ref="CH614:CL614"/>
    <mergeCell ref="BN630:BR630"/>
    <mergeCell ref="BK630:BL630"/>
    <mergeCell ref="BI614:BJ614"/>
    <mergeCell ref="CH613:CL613"/>
    <mergeCell ref="AC631:AE631"/>
    <mergeCell ref="AC632:AE632"/>
    <mergeCell ref="AK634:AN634"/>
    <mergeCell ref="AK635:AN635"/>
    <mergeCell ref="Q635:S635"/>
    <mergeCell ref="T634:V634"/>
    <mergeCell ref="M631:P631"/>
    <mergeCell ref="M632:P632"/>
    <mergeCell ref="Q631:S631"/>
    <mergeCell ref="Q632:S632"/>
    <mergeCell ref="W635:Y635"/>
    <mergeCell ref="Z631:AB631"/>
    <mergeCell ref="W633:Y633"/>
    <mergeCell ref="BS619:BW619"/>
    <mergeCell ref="BG618:BH618"/>
    <mergeCell ref="BK618:BL618"/>
    <mergeCell ref="AO636:AS636"/>
    <mergeCell ref="Z624:AB626"/>
    <mergeCell ref="CM612:CQ612"/>
    <mergeCell ref="CM613:CQ613"/>
    <mergeCell ref="CM614:CQ614"/>
    <mergeCell ref="CM615:CQ615"/>
    <mergeCell ref="BG615:BH615"/>
    <mergeCell ref="AI613:AK613"/>
    <mergeCell ref="A617:AT618"/>
    <mergeCell ref="B624:L626"/>
    <mergeCell ref="AF634:AJ634"/>
    <mergeCell ref="AK630:AN630"/>
    <mergeCell ref="AK631:AN631"/>
    <mergeCell ref="AK632:AN632"/>
    <mergeCell ref="BE630:BF630"/>
    <mergeCell ref="CC631:CG631"/>
    <mergeCell ref="BE631:BF631"/>
    <mergeCell ref="BN612:BR612"/>
    <mergeCell ref="Z630:AB630"/>
    <mergeCell ref="T635:V635"/>
    <mergeCell ref="T636:V636"/>
    <mergeCell ref="T637:V637"/>
    <mergeCell ref="T638:V638"/>
    <mergeCell ref="Q624:S626"/>
    <mergeCell ref="BS641:BW641"/>
    <mergeCell ref="BS632:BW632"/>
    <mergeCell ref="BK631:BL631"/>
    <mergeCell ref="BN631:BR631"/>
    <mergeCell ref="BN638:BR638"/>
    <mergeCell ref="AC635:AE635"/>
    <mergeCell ref="W634:Y634"/>
    <mergeCell ref="Q634:S634"/>
    <mergeCell ref="C637:L637"/>
    <mergeCell ref="C638:L638"/>
    <mergeCell ref="Q637:S637"/>
    <mergeCell ref="Q638:S638"/>
    <mergeCell ref="C636:L636"/>
    <mergeCell ref="M638:P638"/>
    <mergeCell ref="M629:P629"/>
    <mergeCell ref="M636:P636"/>
    <mergeCell ref="M637:P637"/>
    <mergeCell ref="W630:Y630"/>
    <mergeCell ref="W638:Y638"/>
    <mergeCell ref="M633:P633"/>
    <mergeCell ref="M634:P634"/>
    <mergeCell ref="T630:V630"/>
    <mergeCell ref="AO638:AS638"/>
    <mergeCell ref="AO641:AS641"/>
    <mergeCell ref="BE623:BF623"/>
    <mergeCell ref="Z634:AB634"/>
    <mergeCell ref="Z635:AB635"/>
    <mergeCell ref="AO632:AS632"/>
    <mergeCell ref="AF636:AJ636"/>
    <mergeCell ref="AF637:AJ637"/>
    <mergeCell ref="AF638:AJ638"/>
    <mergeCell ref="AK624:AN626"/>
    <mergeCell ref="AO624:AS626"/>
    <mergeCell ref="AF629:AJ629"/>
    <mergeCell ref="AO628:AS628"/>
    <mergeCell ref="AO631:AS631"/>
    <mergeCell ref="AK627:AN627"/>
    <mergeCell ref="BK624:BL624"/>
    <mergeCell ref="BE625:BF625"/>
    <mergeCell ref="BG625:BH625"/>
    <mergeCell ref="AC636:AE636"/>
    <mergeCell ref="AC637:AE637"/>
    <mergeCell ref="AC638:AE638"/>
    <mergeCell ref="BK626:BL626"/>
    <mergeCell ref="AC628:AE628"/>
    <mergeCell ref="Z628:AB628"/>
    <mergeCell ref="Z629:AB629"/>
    <mergeCell ref="BG623:BH623"/>
    <mergeCell ref="BE613:BF613"/>
    <mergeCell ref="BN618:BR618"/>
    <mergeCell ref="BK617:BL617"/>
    <mergeCell ref="BG631:BH631"/>
    <mergeCell ref="BI631:BJ631"/>
    <mergeCell ref="AO640:AS640"/>
    <mergeCell ref="AO639:AS639"/>
    <mergeCell ref="AO629:AS629"/>
    <mergeCell ref="AF630:AJ630"/>
    <mergeCell ref="BN626:BR626"/>
    <mergeCell ref="AA614:AK614"/>
    <mergeCell ref="BE614:BF614"/>
    <mergeCell ref="BG616:BH616"/>
    <mergeCell ref="BG632:BH632"/>
    <mergeCell ref="BK632:BL632"/>
    <mergeCell ref="BN632:BR632"/>
    <mergeCell ref="AI647:AK647"/>
    <mergeCell ref="BK623:BL623"/>
    <mergeCell ref="BI622:BJ622"/>
    <mergeCell ref="BK622:BL622"/>
    <mergeCell ref="AK638:AN638"/>
    <mergeCell ref="AF633:AJ633"/>
    <mergeCell ref="AC629:AE629"/>
    <mergeCell ref="BG627:BH627"/>
    <mergeCell ref="BI627:BJ627"/>
    <mergeCell ref="BK627:BL627"/>
    <mergeCell ref="BI625:BJ625"/>
    <mergeCell ref="BK625:BL625"/>
    <mergeCell ref="BE624:BF624"/>
    <mergeCell ref="BG624:BH624"/>
    <mergeCell ref="BE628:BF628"/>
    <mergeCell ref="BE627:BF627"/>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U938:Z938"/>
    <mergeCell ref="U939:Z939"/>
    <mergeCell ref="F935:T935"/>
    <mergeCell ref="U935:Z935"/>
    <mergeCell ref="F943:T943"/>
    <mergeCell ref="U943:Z943"/>
    <mergeCell ref="AA943:AF943"/>
    <mergeCell ref="F929:T929"/>
    <mergeCell ref="F930:T930"/>
    <mergeCell ref="F931:T931"/>
    <mergeCell ref="AA938:AF938"/>
    <mergeCell ref="M878:V878"/>
    <mergeCell ref="W871:AC871"/>
    <mergeCell ref="W870:AC870"/>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3:AC853"/>
    <mergeCell ref="AC886:AH886"/>
    <mergeCell ref="T794:W794"/>
    <mergeCell ref="T792:W792"/>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AC790:AG790"/>
    <mergeCell ref="O788:S788"/>
    <mergeCell ref="AH728:AJ728"/>
    <mergeCell ref="Y800:AC800"/>
    <mergeCell ref="Q832:T832"/>
    <mergeCell ref="X794:AB794"/>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9:X829"/>
    <mergeCell ref="T796:W796"/>
    <mergeCell ref="X774:AB774"/>
    <mergeCell ref="O777:S777"/>
    <mergeCell ref="X788:AB788"/>
    <mergeCell ref="O775:S775"/>
    <mergeCell ref="Q827:T827"/>
    <mergeCell ref="Y826:AB826"/>
    <mergeCell ref="Z813:AE813"/>
    <mergeCell ref="Y825:AB825"/>
    <mergeCell ref="AC825:AF825"/>
    <mergeCell ref="AG827:AJ827"/>
    <mergeCell ref="M826:P826"/>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T734:W734"/>
    <mergeCell ref="G736:J736"/>
    <mergeCell ref="AC739:AG739"/>
    <mergeCell ref="T775:W775"/>
    <mergeCell ref="C763:AR765"/>
    <mergeCell ref="C766:AR768"/>
    <mergeCell ref="X750:AB750"/>
    <mergeCell ref="Q825:T825"/>
    <mergeCell ref="K733:N733"/>
    <mergeCell ref="Y801:AC801"/>
    <mergeCell ref="AC796:AG796"/>
    <mergeCell ref="AC788:AG788"/>
    <mergeCell ref="AK746:AO746"/>
    <mergeCell ref="AK747:AO747"/>
    <mergeCell ref="M827:P827"/>
    <mergeCell ref="J797:N797"/>
    <mergeCell ref="J795:N795"/>
    <mergeCell ref="AC774:AG774"/>
    <mergeCell ref="X777:AB777"/>
    <mergeCell ref="O723:S723"/>
    <mergeCell ref="X723:AB723"/>
    <mergeCell ref="T719:W719"/>
    <mergeCell ref="O724:S724"/>
    <mergeCell ref="T725:W725"/>
    <mergeCell ref="G724:J724"/>
    <mergeCell ref="C826:H826"/>
    <mergeCell ref="U827:X827"/>
    <mergeCell ref="AC749:AG749"/>
    <mergeCell ref="AC750:AG750"/>
    <mergeCell ref="AC751:AG751"/>
    <mergeCell ref="O745:S745"/>
    <mergeCell ref="B740:F740"/>
    <mergeCell ref="O739:S739"/>
    <mergeCell ref="O740:S740"/>
    <mergeCell ref="K741:N741"/>
    <mergeCell ref="K752:N752"/>
    <mergeCell ref="O736:S736"/>
    <mergeCell ref="T739:W739"/>
    <mergeCell ref="G752:J752"/>
    <mergeCell ref="K729:N729"/>
    <mergeCell ref="AC719:AG719"/>
    <mergeCell ref="T729:W729"/>
    <mergeCell ref="G585:R585"/>
    <mergeCell ref="AG575:AH575"/>
    <mergeCell ref="Z568:AK568"/>
    <mergeCell ref="P589:R589"/>
    <mergeCell ref="AF628:AJ628"/>
    <mergeCell ref="C561:L561"/>
    <mergeCell ref="AG657:AH657"/>
    <mergeCell ref="G661:R661"/>
    <mergeCell ref="G593:R593"/>
    <mergeCell ref="Z559:AD559"/>
    <mergeCell ref="G679:L679"/>
    <mergeCell ref="Z662:AK662"/>
    <mergeCell ref="Z659:AK659"/>
    <mergeCell ref="N657:O657"/>
    <mergeCell ref="Z660:AK660"/>
    <mergeCell ref="G663:L663"/>
    <mergeCell ref="N649:O649"/>
    <mergeCell ref="Z610:AK610"/>
    <mergeCell ref="Z677:AK677"/>
    <mergeCell ref="P655:R655"/>
    <mergeCell ref="G613:L613"/>
    <mergeCell ref="Z653:AK653"/>
    <mergeCell ref="Z652:AK652"/>
    <mergeCell ref="P647:R647"/>
    <mergeCell ref="H664:R664"/>
    <mergeCell ref="G653:R653"/>
    <mergeCell ref="Q564:S564"/>
    <mergeCell ref="W636:Y636"/>
    <mergeCell ref="W637:Y637"/>
    <mergeCell ref="C627:L627"/>
    <mergeCell ref="C635:L635"/>
    <mergeCell ref="H614:R614"/>
    <mergeCell ref="P671:R671"/>
    <mergeCell ref="P687:R687"/>
    <mergeCell ref="J705:O705"/>
    <mergeCell ref="J704:X704"/>
    <mergeCell ref="G654:R654"/>
    <mergeCell ref="H648:R648"/>
    <mergeCell ref="Z588:AK588"/>
    <mergeCell ref="Z603:AK603"/>
    <mergeCell ref="AI605:AK605"/>
    <mergeCell ref="Z604:AK604"/>
    <mergeCell ref="G667:R667"/>
    <mergeCell ref="AC624:AE626"/>
    <mergeCell ref="AK628:AN628"/>
    <mergeCell ref="AK637:AN637"/>
    <mergeCell ref="G602:R602"/>
    <mergeCell ref="N599:O599"/>
    <mergeCell ref="AA606:AK606"/>
    <mergeCell ref="AI679:AK679"/>
    <mergeCell ref="Z611:AK611"/>
    <mergeCell ref="W632:Y632"/>
    <mergeCell ref="Q636:S636"/>
    <mergeCell ref="Z671:AE671"/>
    <mergeCell ref="G662:R662"/>
    <mergeCell ref="AE699:AI699"/>
    <mergeCell ref="AA648:AK648"/>
    <mergeCell ref="AG681:AH681"/>
    <mergeCell ref="Z632:AB632"/>
    <mergeCell ref="G651:R651"/>
    <mergeCell ref="G652:R652"/>
    <mergeCell ref="Z655:AE655"/>
    <mergeCell ref="M635:P635"/>
    <mergeCell ref="C629:L629"/>
    <mergeCell ref="K720:N720"/>
    <mergeCell ref="W703:AK703"/>
    <mergeCell ref="G678:R678"/>
    <mergeCell ref="P679:R679"/>
    <mergeCell ref="Z676:AK676"/>
    <mergeCell ref="W700:AK700"/>
    <mergeCell ref="Z683:AK683"/>
    <mergeCell ref="K724:N724"/>
    <mergeCell ref="Z601:AK601"/>
    <mergeCell ref="AE564:AH564"/>
    <mergeCell ref="G677:R677"/>
    <mergeCell ref="Z678:AK678"/>
    <mergeCell ref="G685:R685"/>
    <mergeCell ref="AH724:AJ724"/>
    <mergeCell ref="G721:J721"/>
    <mergeCell ref="G722:J722"/>
    <mergeCell ref="O714:S717"/>
    <mergeCell ref="N673:O673"/>
    <mergeCell ref="G604:R604"/>
    <mergeCell ref="G586:R586"/>
    <mergeCell ref="G588:R588"/>
    <mergeCell ref="AI565:AL565"/>
    <mergeCell ref="N583:O583"/>
    <mergeCell ref="Z581:AE581"/>
    <mergeCell ref="AI581:AK581"/>
    <mergeCell ref="AA582:AK582"/>
    <mergeCell ref="H606:R606"/>
    <mergeCell ref="G719:J719"/>
    <mergeCell ref="O718:S718"/>
    <mergeCell ref="O720:S720"/>
    <mergeCell ref="G714:J717"/>
    <mergeCell ref="G668:R668"/>
    <mergeCell ref="K725:N725"/>
    <mergeCell ref="AI663:AK663"/>
    <mergeCell ref="Z661:AK661"/>
    <mergeCell ref="X720:AB720"/>
    <mergeCell ref="X722:AB722"/>
    <mergeCell ref="Z685:AK685"/>
    <mergeCell ref="G675:R675"/>
    <mergeCell ref="Z667:AK667"/>
    <mergeCell ref="N575:O575"/>
    <mergeCell ref="AC347:AE347"/>
    <mergeCell ref="P343:AE343"/>
    <mergeCell ref="AA340:AF340"/>
    <mergeCell ref="G568:R568"/>
    <mergeCell ref="M574:R574"/>
    <mergeCell ref="C558:L558"/>
    <mergeCell ref="AC507:AF507"/>
    <mergeCell ref="D470:V470"/>
    <mergeCell ref="AC536:AF536"/>
    <mergeCell ref="Q559:S559"/>
    <mergeCell ref="G605:L605"/>
    <mergeCell ref="Z587:AK587"/>
    <mergeCell ref="G687:L687"/>
    <mergeCell ref="Z613:AE613"/>
    <mergeCell ref="Q628:S628"/>
    <mergeCell ref="AH504:AK504"/>
    <mergeCell ref="AH517:AK517"/>
    <mergeCell ref="AH535:AK535"/>
    <mergeCell ref="AH527:AK527"/>
    <mergeCell ref="AC517:AF517"/>
    <mergeCell ref="AH501:AK501"/>
    <mergeCell ref="D450:AF450"/>
    <mergeCell ref="AI563:AL563"/>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40:M340"/>
    <mergeCell ref="AA291:AF291"/>
    <mergeCell ref="AI291:AK291"/>
    <mergeCell ref="AI299:AK299"/>
    <mergeCell ref="H297:R297"/>
    <mergeCell ref="H288:R288"/>
    <mergeCell ref="AA290:AK290"/>
    <mergeCell ref="AA335:AK335"/>
    <mergeCell ref="AA298:AK298"/>
    <mergeCell ref="AA336:AK336"/>
    <mergeCell ref="H333:R333"/>
    <mergeCell ref="M356:N356"/>
    <mergeCell ref="E368:AH369"/>
    <mergeCell ref="H298:R298"/>
    <mergeCell ref="H312:R312"/>
    <mergeCell ref="AI307:AK307"/>
    <mergeCell ref="L279:AD279"/>
    <mergeCell ref="H314:R314"/>
    <mergeCell ref="H316:M316"/>
    <mergeCell ref="AA322:AK322"/>
    <mergeCell ref="H292:M292"/>
    <mergeCell ref="H309:R309"/>
    <mergeCell ref="W253:X253"/>
    <mergeCell ref="AA295:AK295"/>
    <mergeCell ref="AF259:AK259"/>
    <mergeCell ref="AC261:AE261"/>
    <mergeCell ref="M254:AE254"/>
    <mergeCell ref="AA265:AK265"/>
    <mergeCell ref="V276:W276"/>
    <mergeCell ref="A282:AT283"/>
    <mergeCell ref="D270:H270"/>
    <mergeCell ref="X270:AC270"/>
    <mergeCell ref="Z263:AE263"/>
    <mergeCell ref="AA288:AK288"/>
    <mergeCell ref="H287:R287"/>
    <mergeCell ref="P299:R299"/>
    <mergeCell ref="H293:R293"/>
    <mergeCell ref="M264:AE264"/>
    <mergeCell ref="AA293:AK293"/>
    <mergeCell ref="AA301:AK301"/>
    <mergeCell ref="H301:R301"/>
    <mergeCell ref="H317:R317"/>
    <mergeCell ref="AA311:AK311"/>
    <mergeCell ref="AA321:AK321"/>
    <mergeCell ref="H307:M307"/>
    <mergeCell ref="M262:AE262"/>
    <mergeCell ref="O156:AH156"/>
    <mergeCell ref="O157:X157"/>
    <mergeCell ref="O158:R158"/>
    <mergeCell ref="W159:X159"/>
    <mergeCell ref="O159:T159"/>
    <mergeCell ref="AH254:AK254"/>
    <mergeCell ref="U247:W247"/>
    <mergeCell ref="M237:AE237"/>
    <mergeCell ref="AC245:AE245"/>
    <mergeCell ref="M246:AE246"/>
    <mergeCell ref="AH194:AI194"/>
    <mergeCell ref="AB276:AD276"/>
    <mergeCell ref="Y278:AD278"/>
    <mergeCell ref="T197:U197"/>
    <mergeCell ref="P205:U205"/>
    <mergeCell ref="L276:S276"/>
    <mergeCell ref="L278:Q278"/>
    <mergeCell ref="M251:AE251"/>
    <mergeCell ref="M252:AE252"/>
    <mergeCell ref="AF251:AK251"/>
    <mergeCell ref="M244:AE244"/>
    <mergeCell ref="I190:N190"/>
    <mergeCell ref="M247:R247"/>
    <mergeCell ref="A222:AT223"/>
    <mergeCell ref="T190:AE190"/>
    <mergeCell ref="Z247:AE247"/>
    <mergeCell ref="W245:X245"/>
    <mergeCell ref="Z199:AA199"/>
    <mergeCell ref="AC234:AE234"/>
    <mergeCell ref="AH197:AI197"/>
    <mergeCell ref="AA257:AK257"/>
    <mergeCell ref="M260:AE260"/>
    <mergeCell ref="I185:AE185"/>
    <mergeCell ref="D205:M205"/>
    <mergeCell ref="M238:T238"/>
    <mergeCell ref="Z204:AF206"/>
    <mergeCell ref="M235:AE235"/>
    <mergeCell ref="U236:W236"/>
    <mergeCell ref="M243:AE243"/>
    <mergeCell ref="D204:M204"/>
    <mergeCell ref="N191:AE192"/>
    <mergeCell ref="U255:W255"/>
    <mergeCell ref="M259:AE259"/>
    <mergeCell ref="AF243:AK243"/>
    <mergeCell ref="T196:U196"/>
    <mergeCell ref="D220:Z220"/>
    <mergeCell ref="T193:AI193"/>
    <mergeCell ref="AI227:AJ227"/>
    <mergeCell ref="AH246:AK246"/>
    <mergeCell ref="AC253:AE253"/>
    <mergeCell ref="Z255:AE255"/>
    <mergeCell ref="M255:R255"/>
    <mergeCell ref="M253:T253"/>
    <mergeCell ref="A100:AT103"/>
    <mergeCell ref="I184:AE184"/>
    <mergeCell ref="X176:Y176"/>
    <mergeCell ref="X180:Y180"/>
    <mergeCell ref="AP205:AQ205"/>
    <mergeCell ref="AI229:AJ229"/>
    <mergeCell ref="P113:S113"/>
    <mergeCell ref="A169:AT170"/>
    <mergeCell ref="Y117:AK117"/>
    <mergeCell ref="A105:AT106"/>
    <mergeCell ref="L113:O113"/>
    <mergeCell ref="AA249:AK249"/>
    <mergeCell ref="J174:AB174"/>
    <mergeCell ref="U175:V175"/>
    <mergeCell ref="R177:S177"/>
    <mergeCell ref="D211:M211"/>
    <mergeCell ref="AI228:AJ228"/>
    <mergeCell ref="AI226:AJ226"/>
    <mergeCell ref="T189:AE189"/>
    <mergeCell ref="T195:U195"/>
    <mergeCell ref="E187:AE188"/>
    <mergeCell ref="I189:P189"/>
    <mergeCell ref="AA238:AK238"/>
    <mergeCell ref="M249:T249"/>
    <mergeCell ref="M239:AE239"/>
    <mergeCell ref="AF178:AG178"/>
    <mergeCell ref="Y123:AK123"/>
    <mergeCell ref="M245:T245"/>
    <mergeCell ref="D208:M208"/>
    <mergeCell ref="M248:AE248"/>
    <mergeCell ref="M232:AK232"/>
    <mergeCell ref="M233:AE23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F150:T150"/>
    <mergeCell ref="J173:S173"/>
    <mergeCell ref="O155:AH155"/>
    <mergeCell ref="O153:AH153"/>
    <mergeCell ref="O154:AH154"/>
    <mergeCell ref="A86:AT87"/>
    <mergeCell ref="A89:AT90"/>
    <mergeCell ref="A92:AT98"/>
    <mergeCell ref="W261:X261"/>
    <mergeCell ref="U263:W263"/>
    <mergeCell ref="M257:T257"/>
    <mergeCell ref="M256:AE256"/>
    <mergeCell ref="AA300:AF300"/>
    <mergeCell ref="H306:R306"/>
    <mergeCell ref="AA304:AK304"/>
    <mergeCell ref="AA309:AK309"/>
    <mergeCell ref="AA307:AF307"/>
    <mergeCell ref="AA305:AK305"/>
    <mergeCell ref="AA299:AF299"/>
    <mergeCell ref="AA287:AK287"/>
    <mergeCell ref="T267:X267"/>
    <mergeCell ref="P291:R291"/>
    <mergeCell ref="L274:AJ274"/>
    <mergeCell ref="H289:R289"/>
    <mergeCell ref="H291:M291"/>
    <mergeCell ref="L280:AD280"/>
    <mergeCell ref="L275:AD275"/>
    <mergeCell ref="H290:R290"/>
    <mergeCell ref="H295:R295"/>
    <mergeCell ref="M261:T261"/>
    <mergeCell ref="AH262:AK262"/>
    <mergeCell ref="AA292:AF292"/>
    <mergeCell ref="AA306:AK306"/>
    <mergeCell ref="AA303:AK303"/>
    <mergeCell ref="H299:M299"/>
    <mergeCell ref="H300:M300"/>
    <mergeCell ref="AA296:AK296"/>
    <mergeCell ref="AA289:AK289"/>
    <mergeCell ref="L277:AD277"/>
    <mergeCell ref="T278:V278"/>
    <mergeCell ref="AI315:AK315"/>
    <mergeCell ref="AA312:AK312"/>
    <mergeCell ref="AA329:AK329"/>
    <mergeCell ref="H311:R311"/>
    <mergeCell ref="H308:M308"/>
    <mergeCell ref="P307:R307"/>
    <mergeCell ref="H305:R305"/>
    <mergeCell ref="H313:R313"/>
    <mergeCell ref="H304:R304"/>
    <mergeCell ref="H303:R303"/>
    <mergeCell ref="AA308:AF308"/>
    <mergeCell ref="H321:R321"/>
    <mergeCell ref="H322:R322"/>
    <mergeCell ref="AA331:AF331"/>
    <mergeCell ref="P315:R315"/>
    <mergeCell ref="H339:M339"/>
    <mergeCell ref="AA317:AK317"/>
    <mergeCell ref="H329:R329"/>
    <mergeCell ref="H338:R338"/>
    <mergeCell ref="AA333:AK333"/>
    <mergeCell ref="P323:R323"/>
    <mergeCell ref="AA315:AF315"/>
    <mergeCell ref="H330:R330"/>
    <mergeCell ref="H325:R325"/>
    <mergeCell ref="AI323:AK323"/>
    <mergeCell ref="AA320:AK320"/>
    <mergeCell ref="AA337:AK337"/>
    <mergeCell ref="H327:R327"/>
    <mergeCell ref="AE556:AH556"/>
    <mergeCell ref="AI562:AL562"/>
    <mergeCell ref="B503:H508"/>
    <mergeCell ref="C554:L554"/>
    <mergeCell ref="Q558:S558"/>
    <mergeCell ref="AH520:AK520"/>
    <mergeCell ref="AC537:AF537"/>
    <mergeCell ref="AH539:AK539"/>
    <mergeCell ref="AH541:AK541"/>
    <mergeCell ref="AC535:AF535"/>
    <mergeCell ref="AI554:AL554"/>
    <mergeCell ref="W557:Y557"/>
    <mergeCell ref="M560:P560"/>
    <mergeCell ref="M562:P562"/>
    <mergeCell ref="AE562:AH562"/>
    <mergeCell ref="AC540:AF540"/>
    <mergeCell ref="M557:P557"/>
    <mergeCell ref="B520:H542"/>
    <mergeCell ref="AC530:AF530"/>
    <mergeCell ref="C555:L555"/>
    <mergeCell ref="M554:P554"/>
    <mergeCell ref="T554:V554"/>
    <mergeCell ref="B517:H519"/>
    <mergeCell ref="AC524:AF524"/>
    <mergeCell ref="AH516:AK516"/>
    <mergeCell ref="Q554:S554"/>
    <mergeCell ref="AH524:AK524"/>
    <mergeCell ref="AH525:AK525"/>
    <mergeCell ref="AH529:AK529"/>
    <mergeCell ref="T561:V561"/>
    <mergeCell ref="Z565:AD565"/>
    <mergeCell ref="Z572:AE572"/>
    <mergeCell ref="AM562:AS562"/>
    <mergeCell ref="Q487:AK487"/>
    <mergeCell ref="Q486:AK486"/>
    <mergeCell ref="AH502:AK502"/>
    <mergeCell ref="AC499:AK499"/>
    <mergeCell ref="Z562:AD562"/>
    <mergeCell ref="Z563:AD563"/>
    <mergeCell ref="AM561:AS561"/>
    <mergeCell ref="T565:V565"/>
    <mergeCell ref="AI561:AL561"/>
    <mergeCell ref="AE560:AH560"/>
    <mergeCell ref="T556:V556"/>
    <mergeCell ref="AC520:AF520"/>
    <mergeCell ref="AC527:AF527"/>
    <mergeCell ref="D451:AJ452"/>
    <mergeCell ref="AH519:AK519"/>
    <mergeCell ref="AH536:AK536"/>
    <mergeCell ref="AH528:AK528"/>
    <mergeCell ref="AC526:AF526"/>
    <mergeCell ref="AH531:AK531"/>
    <mergeCell ref="AH540:AK540"/>
    <mergeCell ref="AC539:AF539"/>
    <mergeCell ref="C557:L557"/>
    <mergeCell ref="L508:AB508"/>
    <mergeCell ref="AH532:AK532"/>
    <mergeCell ref="B514:H516"/>
    <mergeCell ref="M558:P558"/>
    <mergeCell ref="AC542:AF542"/>
    <mergeCell ref="AI557:AL557"/>
    <mergeCell ref="AC525:AF525"/>
    <mergeCell ref="BG596:BH596"/>
    <mergeCell ref="BN596:BR596"/>
    <mergeCell ref="BI602:BJ602"/>
    <mergeCell ref="BI598:BJ598"/>
    <mergeCell ref="BK599:BL599"/>
    <mergeCell ref="Z560:AD560"/>
    <mergeCell ref="AI339:AK339"/>
    <mergeCell ref="P346:AE346"/>
    <mergeCell ref="P344:AE344"/>
    <mergeCell ref="BN599:BR599"/>
    <mergeCell ref="CH599:CL599"/>
    <mergeCell ref="CC597:CG597"/>
    <mergeCell ref="BE597:BF597"/>
    <mergeCell ref="N591:O591"/>
    <mergeCell ref="AA590:AK590"/>
    <mergeCell ref="BG606:BH606"/>
    <mergeCell ref="AI589:AK589"/>
    <mergeCell ref="Z596:AK596"/>
    <mergeCell ref="H598:R598"/>
    <mergeCell ref="BK598:BL598"/>
    <mergeCell ref="BK600:BL600"/>
    <mergeCell ref="BG598:BH598"/>
    <mergeCell ref="G589:L589"/>
    <mergeCell ref="H590:R590"/>
    <mergeCell ref="Z554:AD554"/>
    <mergeCell ref="W469:Y469"/>
    <mergeCell ref="AI572:AK572"/>
    <mergeCell ref="AI560:AL560"/>
    <mergeCell ref="T562:V562"/>
    <mergeCell ref="AM564:AS564"/>
    <mergeCell ref="W556:Y556"/>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BG602:BH602"/>
    <mergeCell ref="AA598:AK598"/>
    <mergeCell ref="CC598:CG598"/>
    <mergeCell ref="BS604:BW604"/>
    <mergeCell ref="BS602:BW602"/>
    <mergeCell ref="BG604:BH604"/>
    <mergeCell ref="BK601:BL601"/>
    <mergeCell ref="CC602:CG602"/>
    <mergeCell ref="BI600:BJ600"/>
    <mergeCell ref="BX604:CB604"/>
    <mergeCell ref="CC601:CG601"/>
    <mergeCell ref="BX599:CB599"/>
    <mergeCell ref="CC600:CG600"/>
    <mergeCell ref="BE601:BF601"/>
    <mergeCell ref="BE598:BF598"/>
    <mergeCell ref="BG600:BH600"/>
    <mergeCell ref="BE605:BF605"/>
    <mergeCell ref="BE604:BF604"/>
    <mergeCell ref="BE606:BF606"/>
    <mergeCell ref="BN600:BR600"/>
    <mergeCell ref="Z605:AE605"/>
    <mergeCell ref="Z609:AK609"/>
    <mergeCell ref="BE603:BF603"/>
    <mergeCell ref="BE609:BF609"/>
    <mergeCell ref="BK621:BL621"/>
    <mergeCell ref="BE622:BF622"/>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K603:BL603"/>
    <mergeCell ref="BK607:BL607"/>
    <mergeCell ref="BN619:BR619"/>
    <mergeCell ref="BK605:BL605"/>
    <mergeCell ref="BN615:BR615"/>
    <mergeCell ref="BK616:BL616"/>
    <mergeCell ref="BI609:BJ609"/>
    <mergeCell ref="BX606:CB606"/>
    <mergeCell ref="BE607:BF607"/>
    <mergeCell ref="BE608:BF608"/>
    <mergeCell ref="BE612:BF612"/>
    <mergeCell ref="P663:R663"/>
    <mergeCell ref="G659:R659"/>
    <mergeCell ref="BN655:BR655"/>
    <mergeCell ref="BS640:BW640"/>
    <mergeCell ref="BN629:BR629"/>
    <mergeCell ref="BS629:BW629"/>
    <mergeCell ref="BX629:CB629"/>
    <mergeCell ref="BX639:CB639"/>
    <mergeCell ref="BX640:CB640"/>
    <mergeCell ref="Z633:AB633"/>
    <mergeCell ref="BX609:CB609"/>
    <mergeCell ref="Z663:AE663"/>
    <mergeCell ref="Z643:AK643"/>
    <mergeCell ref="BX621:CB621"/>
    <mergeCell ref="BN622:BR622"/>
    <mergeCell ref="BS622:BW622"/>
    <mergeCell ref="BX622:CB622"/>
    <mergeCell ref="BX626:CB626"/>
    <mergeCell ref="BN623:BR623"/>
    <mergeCell ref="BE620:BF620"/>
    <mergeCell ref="BG620:BH620"/>
    <mergeCell ref="BI620:BJ620"/>
    <mergeCell ref="BK620:BL620"/>
    <mergeCell ref="BE621:BF621"/>
    <mergeCell ref="BG621:BH621"/>
    <mergeCell ref="BI621:BJ621"/>
    <mergeCell ref="Z579:AK579"/>
    <mergeCell ref="C556:L556"/>
    <mergeCell ref="BG601:BH601"/>
    <mergeCell ref="BE600:BF600"/>
    <mergeCell ref="BS649:BW649"/>
    <mergeCell ref="BX652:CB652"/>
    <mergeCell ref="BI599:BJ599"/>
    <mergeCell ref="BE610:BF610"/>
    <mergeCell ref="BN601:BR601"/>
    <mergeCell ref="BN597:BR597"/>
    <mergeCell ref="BG597:BH597"/>
    <mergeCell ref="BI597:BJ597"/>
    <mergeCell ref="BX619:CB619"/>
    <mergeCell ref="BX618:CB618"/>
    <mergeCell ref="BI630:BJ630"/>
    <mergeCell ref="BX608:CB608"/>
    <mergeCell ref="BX611:CB611"/>
    <mergeCell ref="AE559:AH559"/>
    <mergeCell ref="AI559:AL559"/>
    <mergeCell ref="BN627:BR627"/>
    <mergeCell ref="BS627:BW627"/>
    <mergeCell ref="BE629:BF629"/>
    <mergeCell ref="BG629:BH629"/>
    <mergeCell ref="BI629:BJ629"/>
    <mergeCell ref="BK629:BL629"/>
    <mergeCell ref="BE626:BF626"/>
    <mergeCell ref="BG626:BH626"/>
    <mergeCell ref="BI626:BJ626"/>
    <mergeCell ref="BN621:BR621"/>
    <mergeCell ref="BS621:BW621"/>
    <mergeCell ref="AE561:AH561"/>
    <mergeCell ref="AC514:AF514"/>
    <mergeCell ref="AH538:AK538"/>
    <mergeCell ref="Q562:S562"/>
    <mergeCell ref="AC533:AF533"/>
    <mergeCell ref="Z555:AD555"/>
    <mergeCell ref="AM555:AS555"/>
    <mergeCell ref="AG607:AH607"/>
    <mergeCell ref="BG603:BH603"/>
    <mergeCell ref="BS605:BW605"/>
    <mergeCell ref="BX605:CB605"/>
    <mergeCell ref="BI601:BJ601"/>
    <mergeCell ref="BX596:CB596"/>
    <mergeCell ref="BK596:BL596"/>
    <mergeCell ref="BG599:BH599"/>
    <mergeCell ref="BX607:CB607"/>
    <mergeCell ref="BS598:BW598"/>
    <mergeCell ref="BS599:BW599"/>
    <mergeCell ref="AH521:AK521"/>
    <mergeCell ref="Q557:S557"/>
    <mergeCell ref="Z557:AD557"/>
    <mergeCell ref="AC528:AF528"/>
    <mergeCell ref="AI558:AL558"/>
    <mergeCell ref="Z551:AD553"/>
    <mergeCell ref="Z570:AK570"/>
    <mergeCell ref="G578:R578"/>
    <mergeCell ref="G579:R579"/>
    <mergeCell ref="G580:R580"/>
    <mergeCell ref="G581:L581"/>
    <mergeCell ref="P581:R581"/>
    <mergeCell ref="AC522:AF522"/>
    <mergeCell ref="AH534:AK534"/>
    <mergeCell ref="AC510:AF510"/>
    <mergeCell ref="AH510:AK510"/>
    <mergeCell ref="AC512:AF512"/>
    <mergeCell ref="AH512:AK512"/>
    <mergeCell ref="AC538:AF538"/>
    <mergeCell ref="AH515:AK515"/>
    <mergeCell ref="O526:AA526"/>
    <mergeCell ref="AC529:AF529"/>
    <mergeCell ref="AH530:AK530"/>
    <mergeCell ref="AH508:AK508"/>
    <mergeCell ref="AH533:AK533"/>
    <mergeCell ref="O529:AA529"/>
    <mergeCell ref="B551:L553"/>
    <mergeCell ref="M551:P553"/>
    <mergeCell ref="AC531:AF531"/>
    <mergeCell ref="M555:P555"/>
    <mergeCell ref="M556:P556"/>
    <mergeCell ref="AC508:AF508"/>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AG437:AJ437"/>
    <mergeCell ref="AG450:AJ450"/>
    <mergeCell ref="D441:AF441"/>
    <mergeCell ref="AG447:AJ447"/>
    <mergeCell ref="AC454:AF454"/>
    <mergeCell ref="W418:Y418"/>
    <mergeCell ref="D466:V466"/>
    <mergeCell ref="AG446:AJ446"/>
    <mergeCell ref="D440:AF440"/>
    <mergeCell ref="D449:AF449"/>
    <mergeCell ref="AE424:AF424"/>
    <mergeCell ref="Q394:U394"/>
    <mergeCell ref="Z432:AA432"/>
    <mergeCell ref="D444:AF444"/>
    <mergeCell ref="AG448:AJ448"/>
    <mergeCell ref="AC455:AF455"/>
    <mergeCell ref="P331:R331"/>
    <mergeCell ref="AA324:AF324"/>
    <mergeCell ref="H328:R328"/>
    <mergeCell ref="AI397:AJ397"/>
    <mergeCell ref="T399:AJ399"/>
    <mergeCell ref="T398:AJ398"/>
    <mergeCell ref="AG440:AJ440"/>
    <mergeCell ref="AC387:AJ387"/>
    <mergeCell ref="V388:AJ388"/>
    <mergeCell ref="D443:AF443"/>
    <mergeCell ref="P424:Q424"/>
    <mergeCell ref="AA332:AF332"/>
    <mergeCell ref="AA328:AK328"/>
    <mergeCell ref="K403:AJ403"/>
    <mergeCell ref="H336:R336"/>
    <mergeCell ref="AA327:AK327"/>
    <mergeCell ref="H332:M332"/>
    <mergeCell ref="H335:R335"/>
    <mergeCell ref="AG393:AJ393"/>
    <mergeCell ref="AG391:AJ391"/>
    <mergeCell ref="AC386:AJ386"/>
    <mergeCell ref="Q393:U393"/>
    <mergeCell ref="AG395:AJ395"/>
    <mergeCell ref="AI392:AJ392"/>
    <mergeCell ref="R412:S412"/>
    <mergeCell ref="Q429:R429"/>
    <mergeCell ref="D448:AF448"/>
    <mergeCell ref="AG445:AJ445"/>
    <mergeCell ref="P349:AE349"/>
    <mergeCell ref="AC370:AF370"/>
    <mergeCell ref="P348:Z348"/>
    <mergeCell ref="N373:AF374"/>
    <mergeCell ref="AJ355:AK355"/>
    <mergeCell ref="AG442:AJ442"/>
    <mergeCell ref="AG377:AH377"/>
    <mergeCell ref="E418:G418"/>
    <mergeCell ref="AD411:AE411"/>
    <mergeCell ref="F427:AH428"/>
    <mergeCell ref="V377:W377"/>
    <mergeCell ref="S377:T377"/>
    <mergeCell ref="D437:AF437"/>
    <mergeCell ref="D442:AF442"/>
    <mergeCell ref="AF430:AG430"/>
    <mergeCell ref="AG380:AH380"/>
    <mergeCell ref="S405:AJ405"/>
    <mergeCell ref="S401:U401"/>
    <mergeCell ref="Q365:AG365"/>
    <mergeCell ref="P418:R418"/>
    <mergeCell ref="S392:U392"/>
    <mergeCell ref="R411:S411"/>
    <mergeCell ref="Q389:U389"/>
    <mergeCell ref="AJ357:AK357"/>
    <mergeCell ref="J387:U387"/>
    <mergeCell ref="AF418:AH418"/>
    <mergeCell ref="Z434:AA434"/>
    <mergeCell ref="AG379:AH379"/>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T557:V557"/>
    <mergeCell ref="AC518:AF518"/>
    <mergeCell ref="Q551:S553"/>
    <mergeCell ref="T551:V553"/>
    <mergeCell ref="W551:Y553"/>
    <mergeCell ref="Q491:AK491"/>
    <mergeCell ref="AH495:AK495"/>
    <mergeCell ref="D465:V465"/>
    <mergeCell ref="AC509:AF509"/>
    <mergeCell ref="AC456:AF456"/>
    <mergeCell ref="AH503:AK503"/>
    <mergeCell ref="AC500:AF500"/>
    <mergeCell ref="Q485:AK485"/>
    <mergeCell ref="AH507:AK507"/>
    <mergeCell ref="AC516:AF516"/>
    <mergeCell ref="AC521:AF521"/>
    <mergeCell ref="AH509:AK509"/>
    <mergeCell ref="AC503:AF503"/>
    <mergeCell ref="AC513:AF513"/>
    <mergeCell ref="W468:Y468"/>
    <mergeCell ref="G474:V474"/>
    <mergeCell ref="W474:Y474"/>
    <mergeCell ref="W466:Y466"/>
    <mergeCell ref="W473:Y473"/>
    <mergeCell ref="D469:V469"/>
    <mergeCell ref="AH513:AK513"/>
    <mergeCell ref="D468:V468"/>
    <mergeCell ref="AH506:AK506"/>
    <mergeCell ref="Q494:AK494"/>
    <mergeCell ref="D473:V473"/>
    <mergeCell ref="AC504:AF504"/>
    <mergeCell ref="S489:AK490"/>
    <mergeCell ref="AH500:AK500"/>
    <mergeCell ref="AH505:AK505"/>
    <mergeCell ref="AC515:AF515"/>
    <mergeCell ref="W471:Y471"/>
    <mergeCell ref="Q492:AK492"/>
    <mergeCell ref="F457:AB458"/>
    <mergeCell ref="AM551:AS553"/>
    <mergeCell ref="D472:V472"/>
    <mergeCell ref="W472:Y472"/>
    <mergeCell ref="AE551:AH553"/>
    <mergeCell ref="AI551:AL553"/>
    <mergeCell ref="O520:AA520"/>
    <mergeCell ref="AE555:AH555"/>
    <mergeCell ref="AH518:AK518"/>
    <mergeCell ref="AH514:AK514"/>
    <mergeCell ref="Q555:S555"/>
    <mergeCell ref="AH742:AJ742"/>
    <mergeCell ref="AM560:AS560"/>
    <mergeCell ref="B725:F725"/>
    <mergeCell ref="B724:F724"/>
    <mergeCell ref="B728:F728"/>
    <mergeCell ref="X728:AB728"/>
    <mergeCell ref="B501:H502"/>
    <mergeCell ref="O523:AA523"/>
    <mergeCell ref="AC519:AF519"/>
    <mergeCell ref="AC523:AF523"/>
    <mergeCell ref="G587:R587"/>
    <mergeCell ref="R705:T705"/>
    <mergeCell ref="G571:R571"/>
    <mergeCell ref="G569:R569"/>
    <mergeCell ref="G570:R570"/>
    <mergeCell ref="G572:L572"/>
    <mergeCell ref="Z571:AK571"/>
    <mergeCell ref="Z569:AK569"/>
    <mergeCell ref="B718:F718"/>
    <mergeCell ref="G720:J720"/>
    <mergeCell ref="W558:Y558"/>
    <mergeCell ref="AE558:AH558"/>
    <mergeCell ref="BS623:BW623"/>
    <mergeCell ref="BX623:CB623"/>
    <mergeCell ref="BN625:BR625"/>
    <mergeCell ref="BS625:BW625"/>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CH623:CL623"/>
    <mergeCell ref="BN624:BR624"/>
    <mergeCell ref="BS624:BW624"/>
    <mergeCell ref="DM626:DQ626"/>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DH624:DL624"/>
    <mergeCell ref="CS625:CW625"/>
    <mergeCell ref="CX625:DB625"/>
    <mergeCell ref="DC625:DG625"/>
    <mergeCell ref="DH625:DL625"/>
    <mergeCell ref="CS626:CW626"/>
    <mergeCell ref="CX626:DB626"/>
    <mergeCell ref="DC624:DG624"/>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M629:DQ629"/>
    <mergeCell ref="DR629:DV629"/>
    <mergeCell ref="EW627:FA627"/>
    <mergeCell ref="DX628:EB628"/>
    <mergeCell ref="EC628:EG628"/>
    <mergeCell ref="EH628:EL628"/>
    <mergeCell ref="EM628:EQ628"/>
    <mergeCell ref="EW624:FA624"/>
    <mergeCell ref="DX625:EB625"/>
    <mergeCell ref="DR624:DV624"/>
    <mergeCell ref="DM625:DQ625"/>
    <mergeCell ref="DR625:DV625"/>
    <mergeCell ref="ER625:EV625"/>
    <mergeCell ref="EW625:FA625"/>
    <mergeCell ref="DX626:EB626"/>
    <mergeCell ref="EC626:EG626"/>
    <mergeCell ref="EH626:EL626"/>
    <mergeCell ref="EM626:EQ626"/>
    <mergeCell ref="ER626:EV626"/>
    <mergeCell ref="EW626:FA626"/>
    <mergeCell ref="DX627:EB627"/>
    <mergeCell ref="EC627:EG627"/>
    <mergeCell ref="EH627:EL627"/>
    <mergeCell ref="EM627:EQ627"/>
    <mergeCell ref="ER627:EV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ER636:EV636"/>
    <mergeCell ref="DX629:EB629"/>
    <mergeCell ref="EC629:EG629"/>
    <mergeCell ref="EH629:EL629"/>
    <mergeCell ref="EM629:EQ629"/>
    <mergeCell ref="EC664:EG664"/>
    <mergeCell ref="EH664:EL664"/>
    <mergeCell ref="DX666:EB666"/>
    <mergeCell ref="EC666:EG666"/>
    <mergeCell ref="EH666:EL666"/>
    <mergeCell ref="AK743:AO743"/>
    <mergeCell ref="EW636:FA636"/>
    <mergeCell ref="ER637:EV637"/>
    <mergeCell ref="Z668:AK668"/>
    <mergeCell ref="AO633:AS633"/>
    <mergeCell ref="AI655:AK655"/>
    <mergeCell ref="EW630:FA630"/>
    <mergeCell ref="ER647:EV647"/>
    <mergeCell ref="EH645:EL645"/>
    <mergeCell ref="EM645:EQ645"/>
    <mergeCell ref="EH640:EL640"/>
    <mergeCell ref="EW670:FA670"/>
    <mergeCell ref="EW656:FA656"/>
    <mergeCell ref="DX657:EB657"/>
    <mergeCell ref="EC657:EG657"/>
    <mergeCell ref="EH657:EL657"/>
    <mergeCell ref="Z654:AK654"/>
    <mergeCell ref="DH629:DL629"/>
    <mergeCell ref="BN639:BR639"/>
    <mergeCell ref="BN640:BR640"/>
    <mergeCell ref="BS639:BW639"/>
    <mergeCell ref="BN645:BR645"/>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T720:W720"/>
    <mergeCell ref="G718:J718"/>
    <mergeCell ref="B721:F721"/>
    <mergeCell ref="T722:W722"/>
    <mergeCell ref="K714:N717"/>
    <mergeCell ref="T724:W724"/>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Z204:AF206" xr:uid="{9BEEE790-835C-4209-A33A-9B1065E69761}">
      <formula1>$BI$212:$BI$216</formula1>
    </dataValidation>
    <dataValidation type="list" allowBlank="1" showInputMessage="1" showErrorMessage="1" sqref="M971:S971" xr:uid="{9CEC7422-BB08-4918-A04B-C33D1AA3FF65}">
      <formula1>"(select one),Project-based vouchers (PBVs),Project-based contract (PBC),RAD PBVs, RAD PBC"</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76" workbookViewId="0">
      <selection activeCell="Q66" sqref="Q66"/>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558</v>
      </c>
      <c r="B1" s="125"/>
      <c r="C1" s="125"/>
      <c r="D1" s="125"/>
      <c r="E1" s="126"/>
      <c r="F1" s="1888" t="s">
        <v>630</v>
      </c>
      <c r="G1" s="1889"/>
      <c r="H1" s="1889"/>
      <c r="I1" s="1889"/>
      <c r="J1" s="1889"/>
      <c r="K1" s="1889"/>
      <c r="L1" s="1889"/>
      <c r="M1" s="1889"/>
      <c r="N1" s="1889"/>
      <c r="O1" s="1889"/>
      <c r="P1" s="1889"/>
      <c r="Q1" s="1889"/>
      <c r="R1" s="1890"/>
      <c r="S1" s="112"/>
      <c r="T1" s="111"/>
      <c r="U1" s="113"/>
    </row>
    <row r="2" spans="1:21" s="138" customFormat="1" ht="71.25" customHeight="1">
      <c r="A2" s="137"/>
      <c r="B2" s="138" t="s">
        <v>23</v>
      </c>
      <c r="C2" s="138" t="s">
        <v>375</v>
      </c>
      <c r="D2" s="138" t="s">
        <v>374</v>
      </c>
      <c r="E2" s="138" t="s">
        <v>24</v>
      </c>
      <c r="F2" s="139" t="str">
        <f>Application!B627&amp;Application!C627</f>
        <v>1)Perm Loan - Banner Bank</v>
      </c>
      <c r="G2" s="139" t="str">
        <f>Application!B628&amp;Application!C628</f>
        <v>2)County of San Diego HOME</v>
      </c>
      <c r="H2" s="139" t="str">
        <f>Application!B629&amp;Application!C629</f>
        <v>3)HCD Super NOFA (IIG)</v>
      </c>
      <c r="I2" s="139" t="str">
        <f>Application!B630&amp;Application!C630</f>
        <v>4)Deferred Developer Fee</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0</v>
      </c>
      <c r="C4" s="147"/>
      <c r="D4" s="147"/>
      <c r="E4" s="147"/>
      <c r="F4" s="147"/>
      <c r="G4" s="147"/>
      <c r="H4" s="147"/>
      <c r="I4" s="147"/>
      <c r="J4" s="147"/>
      <c r="K4" s="147"/>
      <c r="L4" s="147"/>
      <c r="M4" s="147"/>
      <c r="N4" s="147"/>
      <c r="O4" s="147"/>
      <c r="P4" s="147"/>
      <c r="Q4" s="147"/>
      <c r="R4" s="550">
        <f>SUM(E4:Q4)</f>
        <v>0</v>
      </c>
      <c r="S4" s="148"/>
      <c r="T4" s="148"/>
      <c r="U4" s="143"/>
    </row>
    <row r="5" spans="1:21" s="144" customFormat="1">
      <c r="A5" s="145" t="s">
        <v>28</v>
      </c>
      <c r="B5" s="146">
        <f>SUM(C5+D5)</f>
        <v>0</v>
      </c>
      <c r="C5" s="147">
        <v>0</v>
      </c>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v>0</v>
      </c>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v>0</v>
      </c>
      <c r="D7" s="147"/>
      <c r="E7" s="147"/>
      <c r="F7" s="147"/>
      <c r="G7" s="147"/>
      <c r="H7" s="147"/>
      <c r="I7" s="147"/>
      <c r="J7" s="147"/>
      <c r="K7" s="147"/>
      <c r="L7" s="147"/>
      <c r="M7" s="147"/>
      <c r="N7" s="147"/>
      <c r="O7" s="147"/>
      <c r="P7" s="147"/>
      <c r="Q7" s="147"/>
      <c r="R7" s="550">
        <f>SUM(E7:Q7)</f>
        <v>0</v>
      </c>
      <c r="S7" s="148"/>
      <c r="T7" s="148"/>
      <c r="U7" s="143"/>
    </row>
    <row r="8" spans="1:21" s="144" customFormat="1">
      <c r="A8" s="149" t="s">
        <v>602</v>
      </c>
      <c r="B8" s="146">
        <f>SUM(C8:D8)</f>
        <v>0</v>
      </c>
      <c r="C8" s="146">
        <f t="shared" ref="C8:Q8" si="0">SUM(C4:C7)</f>
        <v>0</v>
      </c>
      <c r="D8" s="146">
        <f t="shared" si="0"/>
        <v>0</v>
      </c>
      <c r="E8" s="146">
        <f t="shared" si="0"/>
        <v>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0</v>
      </c>
      <c r="S8" s="148"/>
      <c r="T8" s="148"/>
      <c r="U8" s="143"/>
    </row>
    <row r="9" spans="1:21" s="144" customFormat="1">
      <c r="A9" s="145" t="s">
        <v>603</v>
      </c>
      <c r="B9" s="146">
        <f>SUM(C9+D9)</f>
        <v>0</v>
      </c>
      <c r="C9" s="147">
        <v>0</v>
      </c>
      <c r="D9" s="147"/>
      <c r="E9" s="147"/>
      <c r="F9" s="147"/>
      <c r="G9" s="147"/>
      <c r="H9" s="147"/>
      <c r="I9" s="147"/>
      <c r="J9" s="147"/>
      <c r="K9" s="147"/>
      <c r="L9" s="147"/>
      <c r="M9" s="147"/>
      <c r="N9" s="147"/>
      <c r="O9" s="147"/>
      <c r="P9" s="147"/>
      <c r="Q9" s="147"/>
      <c r="R9" s="550">
        <f>SUM(E9:Q9)</f>
        <v>0</v>
      </c>
      <c r="S9" s="148"/>
      <c r="T9" s="147"/>
      <c r="U9" s="143"/>
    </row>
    <row r="10" spans="1:21" s="144" customFormat="1">
      <c r="A10" s="145" t="s">
        <v>604</v>
      </c>
      <c r="B10" s="146">
        <f>SUM(C10+D10)</f>
        <v>0</v>
      </c>
      <c r="C10" s="147">
        <v>0</v>
      </c>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605</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0</v>
      </c>
      <c r="S11" s="148"/>
      <c r="T11" s="150">
        <f>SUM(T9:T10)</f>
        <v>0</v>
      </c>
      <c r="U11" s="143"/>
    </row>
    <row r="12" spans="1:21" s="144" customFormat="1">
      <c r="A12" s="149" t="s">
        <v>84</v>
      </c>
      <c r="B12" s="146">
        <f t="shared" ref="B12:Q12" si="2">SUM(B8+B11)</f>
        <v>0</v>
      </c>
      <c r="C12" s="146">
        <f t="shared" si="2"/>
        <v>0</v>
      </c>
      <c r="D12" s="146">
        <f t="shared" si="2"/>
        <v>0</v>
      </c>
      <c r="E12" s="146">
        <f t="shared" si="2"/>
        <v>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0</v>
      </c>
      <c r="S12" s="148"/>
      <c r="T12" s="148"/>
      <c r="U12" s="143"/>
    </row>
    <row r="13" spans="1:21" s="144" customFormat="1">
      <c r="A13" s="309" t="s">
        <v>918</v>
      </c>
      <c r="B13" s="146">
        <f>SUM(C13+D13)</f>
        <v>103001</v>
      </c>
      <c r="C13" s="147">
        <v>103001</v>
      </c>
      <c r="D13" s="147"/>
      <c r="E13" s="147"/>
      <c r="F13" s="147">
        <v>103001</v>
      </c>
      <c r="G13" s="147"/>
      <c r="H13" s="147"/>
      <c r="I13" s="147"/>
      <c r="J13" s="147"/>
      <c r="K13" s="147"/>
      <c r="L13" s="147"/>
      <c r="M13" s="147"/>
      <c r="N13" s="147"/>
      <c r="O13" s="147"/>
      <c r="P13" s="147"/>
      <c r="Q13" s="147"/>
      <c r="R13" s="550">
        <f>SUM(E13:Q13)</f>
        <v>103001</v>
      </c>
      <c r="S13" s="147"/>
      <c r="T13" s="147"/>
      <c r="U13" s="143"/>
    </row>
    <row r="14" spans="1:21" s="144" customFormat="1" ht="24">
      <c r="A14" s="310" t="s">
        <v>1756</v>
      </c>
      <c r="B14" s="146">
        <f>SUM(C14+D14)</f>
        <v>0</v>
      </c>
      <c r="C14" s="147">
        <v>0</v>
      </c>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1267</v>
      </c>
      <c r="B15" s="146">
        <f>SUM(C15+D15)</f>
        <v>0</v>
      </c>
      <c r="C15" s="147">
        <v>0</v>
      </c>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608</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609</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1753</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6">SUM(C29+D29)</f>
        <v>6992473</v>
      </c>
      <c r="C29" s="147">
        <v>6992473</v>
      </c>
      <c r="D29" s="147"/>
      <c r="E29" s="147"/>
      <c r="F29" s="147"/>
      <c r="G29" s="147">
        <v>181301</v>
      </c>
      <c r="H29" s="147">
        <v>6811172</v>
      </c>
      <c r="I29" s="147"/>
      <c r="J29" s="147"/>
      <c r="K29" s="147"/>
      <c r="L29" s="147"/>
      <c r="M29" s="147"/>
      <c r="N29" s="147"/>
      <c r="O29" s="147"/>
      <c r="P29" s="147"/>
      <c r="Q29" s="147"/>
      <c r="R29" s="550">
        <f t="shared" ref="R29:R37" si="7">SUM(E29:Q29)</f>
        <v>6992473</v>
      </c>
      <c r="S29" s="147">
        <v>6992473</v>
      </c>
      <c r="T29" s="147"/>
      <c r="U29" s="143"/>
    </row>
    <row r="30" spans="1:21" s="144" customFormat="1">
      <c r="A30" s="145" t="s">
        <v>608</v>
      </c>
      <c r="B30" s="146">
        <f t="shared" si="6"/>
        <v>57870877</v>
      </c>
      <c r="C30" s="147">
        <v>57870877</v>
      </c>
      <c r="D30" s="147"/>
      <c r="E30" s="147">
        <f>32208341+843850</f>
        <v>33052191</v>
      </c>
      <c r="F30" s="147">
        <f>25662536-843850</f>
        <v>24818686</v>
      </c>
      <c r="G30" s="147"/>
      <c r="H30" s="147"/>
      <c r="I30" s="147"/>
      <c r="J30" s="147"/>
      <c r="K30" s="147"/>
      <c r="L30" s="147"/>
      <c r="M30" s="147"/>
      <c r="N30" s="147"/>
      <c r="O30" s="147"/>
      <c r="P30" s="147"/>
      <c r="Q30" s="147"/>
      <c r="R30" s="550">
        <f t="shared" si="7"/>
        <v>57870877</v>
      </c>
      <c r="S30" s="147">
        <v>57870877</v>
      </c>
      <c r="T30" s="147"/>
      <c r="U30" s="143"/>
    </row>
    <row r="31" spans="1:21" s="144" customFormat="1">
      <c r="A31" s="145" t="s">
        <v>609</v>
      </c>
      <c r="B31" s="146">
        <f t="shared" si="6"/>
        <v>4091400</v>
      </c>
      <c r="C31" s="147">
        <v>4091400</v>
      </c>
      <c r="D31" s="147"/>
      <c r="E31" s="147"/>
      <c r="F31" s="147">
        <v>2508985</v>
      </c>
      <c r="G31" s="147">
        <v>1582415</v>
      </c>
      <c r="H31" s="147"/>
      <c r="I31" s="147"/>
      <c r="J31" s="147"/>
      <c r="K31" s="147"/>
      <c r="L31" s="147"/>
      <c r="M31" s="147"/>
      <c r="N31" s="147"/>
      <c r="O31" s="147"/>
      <c r="P31" s="147"/>
      <c r="Q31" s="147"/>
      <c r="R31" s="550">
        <f t="shared" si="7"/>
        <v>4091400</v>
      </c>
      <c r="S31" s="147">
        <v>4091400</v>
      </c>
      <c r="T31" s="147"/>
      <c r="U31" s="143"/>
    </row>
    <row r="32" spans="1:21" s="144" customFormat="1">
      <c r="A32" s="145" t="s">
        <v>137</v>
      </c>
      <c r="B32" s="146">
        <f t="shared" si="6"/>
        <v>1145700</v>
      </c>
      <c r="C32" s="147">
        <v>1145700</v>
      </c>
      <c r="D32" s="147"/>
      <c r="E32" s="147"/>
      <c r="F32" s="147">
        <v>1145700</v>
      </c>
      <c r="G32" s="147"/>
      <c r="H32" s="147"/>
      <c r="I32" s="147"/>
      <c r="J32" s="147"/>
      <c r="K32" s="147"/>
      <c r="L32" s="147"/>
      <c r="M32" s="147"/>
      <c r="N32" s="147"/>
      <c r="O32" s="147"/>
      <c r="P32" s="147"/>
      <c r="Q32" s="147"/>
      <c r="R32" s="550">
        <f t="shared" si="7"/>
        <v>1145700</v>
      </c>
      <c r="S32" s="147">
        <v>1145700</v>
      </c>
      <c r="T32" s="147"/>
      <c r="U32" s="143"/>
    </row>
    <row r="33" spans="1:21" s="144" customFormat="1">
      <c r="A33" s="145" t="s">
        <v>138</v>
      </c>
      <c r="B33" s="146">
        <f t="shared" si="6"/>
        <v>1145700</v>
      </c>
      <c r="C33" s="147">
        <v>1145700</v>
      </c>
      <c r="D33" s="147"/>
      <c r="E33" s="147"/>
      <c r="F33" s="147">
        <v>1145700</v>
      </c>
      <c r="G33" s="147"/>
      <c r="H33" s="147"/>
      <c r="I33" s="147"/>
      <c r="J33" s="147"/>
      <c r="K33" s="147"/>
      <c r="L33" s="147"/>
      <c r="M33" s="147"/>
      <c r="N33" s="147"/>
      <c r="O33" s="147"/>
      <c r="P33" s="147"/>
      <c r="Q33" s="147"/>
      <c r="R33" s="550">
        <f t="shared" si="7"/>
        <v>1145700</v>
      </c>
      <c r="S33" s="147">
        <v>1145700</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1666932</v>
      </c>
      <c r="C35" s="147">
        <v>1666932</v>
      </c>
      <c r="D35" s="147"/>
      <c r="E35" s="147">
        <v>1477453</v>
      </c>
      <c r="F35" s="147">
        <v>189479</v>
      </c>
      <c r="G35" s="147"/>
      <c r="H35" s="147"/>
      <c r="I35" s="147"/>
      <c r="J35" s="147"/>
      <c r="K35" s="147"/>
      <c r="L35" s="147"/>
      <c r="M35" s="147"/>
      <c r="N35" s="147"/>
      <c r="O35" s="147"/>
      <c r="P35" s="147"/>
      <c r="Q35" s="147"/>
      <c r="R35" s="550">
        <f t="shared" si="7"/>
        <v>1666932</v>
      </c>
      <c r="S35" s="147">
        <v>1666932</v>
      </c>
      <c r="T35" s="147"/>
      <c r="U35" s="143"/>
    </row>
    <row r="36" spans="1:21" s="144" customFormat="1">
      <c r="A36" s="304" t="s">
        <v>1753</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2738</v>
      </c>
      <c r="B37" s="146">
        <f t="shared" si="6"/>
        <v>1022291</v>
      </c>
      <c r="C37" s="147">
        <v>1022291</v>
      </c>
      <c r="D37" s="147"/>
      <c r="E37" s="147">
        <v>1022291</v>
      </c>
      <c r="F37" s="147"/>
      <c r="G37" s="147"/>
      <c r="H37" s="147"/>
      <c r="I37" s="147"/>
      <c r="J37" s="147"/>
      <c r="K37" s="147"/>
      <c r="L37" s="147"/>
      <c r="M37" s="147"/>
      <c r="N37" s="147"/>
      <c r="O37" s="147"/>
      <c r="P37" s="147"/>
      <c r="Q37" s="147"/>
      <c r="R37" s="550">
        <f t="shared" si="7"/>
        <v>1022291</v>
      </c>
      <c r="S37" s="147">
        <v>1022291</v>
      </c>
      <c r="T37" s="147"/>
      <c r="U37" s="143"/>
    </row>
    <row r="38" spans="1:21" s="144" customFormat="1">
      <c r="A38" s="149" t="s">
        <v>143</v>
      </c>
      <c r="B38" s="146">
        <f t="shared" si="6"/>
        <v>73935373</v>
      </c>
      <c r="C38" s="146">
        <f>SUM(C29:C37)</f>
        <v>73935373</v>
      </c>
      <c r="D38" s="146">
        <f t="shared" ref="D38:Q38" si="8">SUM(D29:D37)</f>
        <v>0</v>
      </c>
      <c r="E38" s="146">
        <f t="shared" si="8"/>
        <v>35551935</v>
      </c>
      <c r="F38" s="146">
        <f t="shared" si="8"/>
        <v>29808550</v>
      </c>
      <c r="G38" s="146">
        <f t="shared" si="8"/>
        <v>1763716</v>
      </c>
      <c r="H38" s="146">
        <f t="shared" si="8"/>
        <v>6811172</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70">
        <f>SUM(R29:R37)</f>
        <v>73935373</v>
      </c>
      <c r="S38" s="150">
        <f>SUM(S29:S37)</f>
        <v>73935373</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2150000</v>
      </c>
      <c r="C40" s="147">
        <v>2150000</v>
      </c>
      <c r="D40" s="147"/>
      <c r="E40" s="147">
        <v>2150000</v>
      </c>
      <c r="F40" s="147"/>
      <c r="G40" s="147"/>
      <c r="H40" s="147"/>
      <c r="I40" s="147"/>
      <c r="J40" s="147"/>
      <c r="K40" s="147"/>
      <c r="L40" s="147"/>
      <c r="M40" s="147"/>
      <c r="N40" s="147"/>
      <c r="O40" s="147"/>
      <c r="P40" s="147"/>
      <c r="Q40" s="147"/>
      <c r="R40" s="550">
        <f>SUM(E40:Q40)</f>
        <v>2150000</v>
      </c>
      <c r="S40" s="147">
        <v>2150000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50">
        <f>SUM(E41:Q41)</f>
        <v>0</v>
      </c>
      <c r="S41" s="147"/>
      <c r="T41" s="147"/>
      <c r="U41" s="143"/>
    </row>
    <row r="42" spans="1:21" s="144" customFormat="1">
      <c r="A42" s="149" t="s">
        <v>147</v>
      </c>
      <c r="B42" s="146">
        <f>SUM(C42:D42)</f>
        <v>2150000</v>
      </c>
      <c r="C42" s="146">
        <f>SUM(C39:C41)</f>
        <v>2150000</v>
      </c>
      <c r="D42" s="146">
        <f>SUM(D39:D41)</f>
        <v>0</v>
      </c>
      <c r="E42" s="146">
        <f t="shared" ref="E42:T42" si="9">SUM(E40:E41)</f>
        <v>2150000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2150000</v>
      </c>
      <c r="S42" s="150">
        <f t="shared" si="9"/>
        <v>2150000</v>
      </c>
      <c r="T42" s="150">
        <f t="shared" si="9"/>
        <v>0</v>
      </c>
      <c r="U42" s="143"/>
    </row>
    <row r="43" spans="1:21" s="144" customFormat="1">
      <c r="A43" s="149" t="s">
        <v>148</v>
      </c>
      <c r="B43" s="146">
        <f>SUM(C43:D43)</f>
        <v>650000</v>
      </c>
      <c r="C43" s="147">
        <v>650000</v>
      </c>
      <c r="D43" s="147"/>
      <c r="E43" s="147">
        <v>650000</v>
      </c>
      <c r="F43" s="147"/>
      <c r="G43" s="147"/>
      <c r="H43" s="147"/>
      <c r="I43" s="147"/>
      <c r="J43" s="147"/>
      <c r="K43" s="147"/>
      <c r="L43" s="147"/>
      <c r="M43" s="147"/>
      <c r="N43" s="147"/>
      <c r="O43" s="147"/>
      <c r="P43" s="147"/>
      <c r="Q43" s="147"/>
      <c r="R43" s="550">
        <f>SUM(E43:Q43)</f>
        <v>650000</v>
      </c>
      <c r="S43" s="147">
        <v>650000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4300000</v>
      </c>
      <c r="C45" s="147">
        <v>4300000</v>
      </c>
      <c r="D45" s="147"/>
      <c r="E45" s="147">
        <v>4300000</v>
      </c>
      <c r="F45" s="147"/>
      <c r="G45" s="147"/>
      <c r="H45" s="147"/>
      <c r="I45" s="147"/>
      <c r="J45" s="147"/>
      <c r="K45" s="147"/>
      <c r="L45" s="147"/>
      <c r="M45" s="147"/>
      <c r="N45" s="147"/>
      <c r="O45" s="147"/>
      <c r="P45" s="147"/>
      <c r="Q45" s="147"/>
      <c r="R45" s="550">
        <f t="shared" ref="R45:R53" si="11">SUM(E45:Q45)</f>
        <v>4300000</v>
      </c>
      <c r="S45" s="147">
        <v>4300000</v>
      </c>
      <c r="T45" s="147"/>
      <c r="U45" s="143"/>
    </row>
    <row r="46" spans="1:21" s="144" customFormat="1">
      <c r="A46" s="145" t="s">
        <v>151</v>
      </c>
      <c r="B46" s="146">
        <f t="shared" si="10"/>
        <v>500000</v>
      </c>
      <c r="C46" s="147">
        <v>500000</v>
      </c>
      <c r="D46" s="147"/>
      <c r="E46" s="147">
        <v>500000</v>
      </c>
      <c r="F46" s="147"/>
      <c r="G46" s="147"/>
      <c r="H46" s="147"/>
      <c r="I46" s="147"/>
      <c r="J46" s="147"/>
      <c r="K46" s="147"/>
      <c r="L46" s="147"/>
      <c r="M46" s="147"/>
      <c r="N46" s="147"/>
      <c r="O46" s="147"/>
      <c r="P46" s="147"/>
      <c r="Q46" s="147"/>
      <c r="R46" s="550">
        <f t="shared" si="11"/>
        <v>500000</v>
      </c>
      <c r="S46" s="147">
        <v>500000</v>
      </c>
      <c r="T46" s="147"/>
      <c r="U46" s="143"/>
    </row>
    <row r="47" spans="1:21" s="144" customFormat="1">
      <c r="A47" s="198" t="s">
        <v>152</v>
      </c>
      <c r="B47" s="146">
        <f t="shared" si="10"/>
        <v>0</v>
      </c>
      <c r="C47" s="147"/>
      <c r="D47" s="147"/>
      <c r="E47" s="147"/>
      <c r="F47" s="147"/>
      <c r="G47" s="147"/>
      <c r="H47" s="147"/>
      <c r="I47" s="147"/>
      <c r="J47" s="147"/>
      <c r="K47" s="147"/>
      <c r="L47" s="147"/>
      <c r="M47" s="147"/>
      <c r="N47" s="147"/>
      <c r="O47" s="147"/>
      <c r="P47" s="147"/>
      <c r="Q47" s="147"/>
      <c r="R47" s="550">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50">
        <f t="shared" si="11"/>
        <v>0</v>
      </c>
      <c r="S48" s="147"/>
      <c r="T48" s="147"/>
      <c r="U48" s="143"/>
    </row>
    <row r="49" spans="1:21" s="144" customFormat="1">
      <c r="A49" s="145" t="s">
        <v>57</v>
      </c>
      <c r="B49" s="146">
        <f t="shared" si="10"/>
        <v>540000</v>
      </c>
      <c r="C49" s="147">
        <v>540000</v>
      </c>
      <c r="D49" s="147"/>
      <c r="E49" s="147">
        <v>540000</v>
      </c>
      <c r="F49" s="147"/>
      <c r="G49" s="147"/>
      <c r="H49" s="147"/>
      <c r="I49" s="147"/>
      <c r="J49" s="147"/>
      <c r="K49" s="147"/>
      <c r="L49" s="147"/>
      <c r="M49" s="147"/>
      <c r="N49" s="147"/>
      <c r="O49" s="147"/>
      <c r="P49" s="147"/>
      <c r="Q49" s="147"/>
      <c r="R49" s="550">
        <f t="shared" si="11"/>
        <v>540000</v>
      </c>
      <c r="S49" s="147"/>
      <c r="T49" s="147"/>
      <c r="U49" s="143"/>
    </row>
    <row r="50" spans="1:21" s="144" customFormat="1">
      <c r="A50" s="145" t="s">
        <v>156</v>
      </c>
      <c r="B50" s="146">
        <f t="shared" si="10"/>
        <v>80000</v>
      </c>
      <c r="C50" s="147">
        <v>80000</v>
      </c>
      <c r="D50" s="147"/>
      <c r="E50" s="147">
        <v>80000</v>
      </c>
      <c r="F50" s="147"/>
      <c r="G50" s="147"/>
      <c r="H50" s="147"/>
      <c r="I50" s="147"/>
      <c r="J50" s="147"/>
      <c r="K50" s="147"/>
      <c r="L50" s="147"/>
      <c r="M50" s="147"/>
      <c r="N50" s="147"/>
      <c r="O50" s="147"/>
      <c r="P50" s="147"/>
      <c r="Q50" s="147"/>
      <c r="R50" s="550">
        <f t="shared" si="11"/>
        <v>80000</v>
      </c>
      <c r="S50" s="147">
        <v>80000</v>
      </c>
      <c r="T50" s="147"/>
      <c r="U50" s="143"/>
    </row>
    <row r="51" spans="1:21" s="144" customFormat="1">
      <c r="A51" s="304" t="s">
        <v>154</v>
      </c>
      <c r="B51" s="146">
        <f t="shared" si="10"/>
        <v>30000</v>
      </c>
      <c r="C51" s="147">
        <v>30000</v>
      </c>
      <c r="D51" s="147"/>
      <c r="E51" s="147">
        <v>30000</v>
      </c>
      <c r="F51" s="147"/>
      <c r="G51" s="147"/>
      <c r="H51" s="147"/>
      <c r="I51" s="147"/>
      <c r="J51" s="147"/>
      <c r="K51" s="147"/>
      <c r="L51" s="147"/>
      <c r="M51" s="147"/>
      <c r="N51" s="147"/>
      <c r="O51" s="147"/>
      <c r="P51" s="147"/>
      <c r="Q51" s="147"/>
      <c r="R51" s="550">
        <f t="shared" si="11"/>
        <v>30000</v>
      </c>
      <c r="S51" s="147">
        <v>30000</v>
      </c>
      <c r="T51" s="147"/>
      <c r="U51" s="143"/>
    </row>
    <row r="52" spans="1:21" s="144" customFormat="1">
      <c r="A52" s="145" t="s">
        <v>155</v>
      </c>
      <c r="B52" s="146">
        <f t="shared" si="10"/>
        <v>700000</v>
      </c>
      <c r="C52" s="147">
        <v>700000</v>
      </c>
      <c r="D52" s="147"/>
      <c r="E52" s="147">
        <v>700000</v>
      </c>
      <c r="F52" s="147"/>
      <c r="G52" s="147"/>
      <c r="H52" s="147"/>
      <c r="I52" s="147"/>
      <c r="J52" s="147"/>
      <c r="K52" s="147"/>
      <c r="L52" s="147"/>
      <c r="M52" s="147"/>
      <c r="N52" s="147"/>
      <c r="O52" s="147"/>
      <c r="P52" s="147"/>
      <c r="Q52" s="147"/>
      <c r="R52" s="550">
        <f t="shared" si="11"/>
        <v>700000</v>
      </c>
      <c r="S52" s="147">
        <v>700000</v>
      </c>
      <c r="T52" s="147"/>
      <c r="U52" s="143"/>
    </row>
    <row r="53" spans="1:21" s="144" customFormat="1" ht="36">
      <c r="A53" s="1193" t="s">
        <v>2743</v>
      </c>
      <c r="B53" s="146">
        <f t="shared" si="10"/>
        <v>1600000</v>
      </c>
      <c r="C53" s="1014">
        <f>1300000+100000+200000</f>
        <v>1600000</v>
      </c>
      <c r="D53" s="147"/>
      <c r="E53" s="147">
        <v>1600000</v>
      </c>
      <c r="F53" s="147"/>
      <c r="G53" s="147"/>
      <c r="H53" s="147"/>
      <c r="I53" s="147"/>
      <c r="J53" s="147"/>
      <c r="K53" s="147"/>
      <c r="L53" s="147"/>
      <c r="M53" s="147"/>
      <c r="N53" s="147"/>
      <c r="O53" s="147"/>
      <c r="P53" s="147"/>
      <c r="Q53" s="147"/>
      <c r="R53" s="550">
        <f t="shared" si="11"/>
        <v>1600000</v>
      </c>
      <c r="S53" s="147">
        <v>1600000</v>
      </c>
      <c r="T53" s="147"/>
      <c r="U53" s="143"/>
    </row>
    <row r="54" spans="1:21" s="153" customFormat="1">
      <c r="A54" s="149" t="s">
        <v>157</v>
      </c>
      <c r="B54" s="150">
        <f>SUM(C54:D54)</f>
        <v>7750000</v>
      </c>
      <c r="C54" s="150">
        <f t="shared" ref="C54:T54" si="12">SUM(C45:C53)</f>
        <v>7750000</v>
      </c>
      <c r="D54" s="150">
        <f t="shared" si="12"/>
        <v>0</v>
      </c>
      <c r="E54" s="150">
        <f t="shared" si="12"/>
        <v>7750000</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7750000</v>
      </c>
      <c r="S54" s="150">
        <f t="shared" si="12"/>
        <v>7210000</v>
      </c>
      <c r="T54" s="150">
        <f t="shared" si="12"/>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142000</v>
      </c>
      <c r="C56" s="147">
        <v>142000</v>
      </c>
      <c r="D56" s="147"/>
      <c r="E56" s="147">
        <v>142000</v>
      </c>
      <c r="F56" s="147"/>
      <c r="G56" s="147"/>
      <c r="H56" s="147"/>
      <c r="I56" s="147"/>
      <c r="J56" s="147"/>
      <c r="K56" s="147"/>
      <c r="L56" s="147"/>
      <c r="M56" s="147"/>
      <c r="N56" s="147"/>
      <c r="O56" s="147"/>
      <c r="P56" s="147"/>
      <c r="Q56" s="147"/>
      <c r="R56" s="550">
        <f t="shared" ref="R56:R61" si="14">SUM(E56:Q56)</f>
        <v>142000</v>
      </c>
      <c r="S56" s="148"/>
      <c r="T56" s="148"/>
      <c r="U56" s="143"/>
    </row>
    <row r="57" spans="1:21" s="204" customFormat="1">
      <c r="A57" s="198" t="s">
        <v>152</v>
      </c>
      <c r="B57" s="205">
        <f t="shared" si="13"/>
        <v>0</v>
      </c>
      <c r="C57" s="202"/>
      <c r="D57" s="202"/>
      <c r="E57" s="202"/>
      <c r="F57" s="202"/>
      <c r="G57" s="202"/>
      <c r="H57" s="202"/>
      <c r="I57" s="202"/>
      <c r="J57" s="202"/>
      <c r="K57" s="202"/>
      <c r="L57" s="202"/>
      <c r="M57" s="202"/>
      <c r="N57" s="202"/>
      <c r="O57" s="202"/>
      <c r="P57" s="202"/>
      <c r="Q57" s="202"/>
      <c r="R57" s="550">
        <f t="shared" si="14"/>
        <v>0</v>
      </c>
      <c r="S57" s="206"/>
      <c r="T57" s="206"/>
      <c r="U57" s="203"/>
    </row>
    <row r="58" spans="1:21" s="144" customFormat="1">
      <c r="A58" s="145" t="s">
        <v>156</v>
      </c>
      <c r="B58" s="146">
        <f t="shared" si="13"/>
        <v>0</v>
      </c>
      <c r="C58" s="147"/>
      <c r="D58" s="147"/>
      <c r="E58" s="147"/>
      <c r="F58" s="147"/>
      <c r="G58" s="147"/>
      <c r="H58" s="147"/>
      <c r="I58" s="147"/>
      <c r="J58" s="147"/>
      <c r="K58" s="147"/>
      <c r="L58" s="147"/>
      <c r="M58" s="147"/>
      <c r="N58" s="147"/>
      <c r="O58" s="147"/>
      <c r="P58" s="147"/>
      <c r="Q58" s="147"/>
      <c r="R58" s="550">
        <f t="shared" si="14"/>
        <v>0</v>
      </c>
      <c r="S58" s="148"/>
      <c r="T58" s="148"/>
      <c r="U58" s="143"/>
    </row>
    <row r="59" spans="1:21" s="144" customFormat="1">
      <c r="A59" s="304" t="s">
        <v>154</v>
      </c>
      <c r="B59" s="146">
        <f t="shared" si="13"/>
        <v>0</v>
      </c>
      <c r="C59" s="147"/>
      <c r="D59" s="147"/>
      <c r="E59" s="14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50">
        <f t="shared" si="14"/>
        <v>0</v>
      </c>
      <c r="S60" s="148"/>
      <c r="T60" s="148"/>
      <c r="U60" s="143"/>
    </row>
    <row r="61" spans="1:21" s="144" customFormat="1">
      <c r="A61" s="1193" t="s">
        <v>2739</v>
      </c>
      <c r="B61" s="146">
        <f t="shared" si="13"/>
        <v>3100000</v>
      </c>
      <c r="C61" s="147">
        <v>3100000</v>
      </c>
      <c r="D61" s="147"/>
      <c r="E61" s="147">
        <v>3100000</v>
      </c>
      <c r="F61" s="147"/>
      <c r="G61" s="147"/>
      <c r="H61" s="147"/>
      <c r="I61" s="147"/>
      <c r="J61" s="147"/>
      <c r="K61" s="147"/>
      <c r="L61" s="147"/>
      <c r="M61" s="147"/>
      <c r="N61" s="147"/>
      <c r="O61" s="147"/>
      <c r="P61" s="147"/>
      <c r="Q61" s="147"/>
      <c r="R61" s="550">
        <f t="shared" si="14"/>
        <v>3100000</v>
      </c>
      <c r="S61" s="148"/>
      <c r="T61" s="148"/>
      <c r="U61" s="143"/>
    </row>
    <row r="62" spans="1:21" s="144" customFormat="1" ht="13.7" customHeight="1">
      <c r="A62" s="149" t="s">
        <v>302</v>
      </c>
      <c r="B62" s="146">
        <f>SUM(C62:D62)</f>
        <v>3242000</v>
      </c>
      <c r="C62" s="146">
        <f t="shared" ref="C62:R62" si="15">SUM(C56:C61)</f>
        <v>3242000</v>
      </c>
      <c r="D62" s="146">
        <f t="shared" si="15"/>
        <v>0</v>
      </c>
      <c r="E62" s="146">
        <f t="shared" si="15"/>
        <v>3242000</v>
      </c>
      <c r="F62" s="146">
        <f t="shared" si="15"/>
        <v>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3242000</v>
      </c>
      <c r="S62" s="148"/>
      <c r="T62" s="148"/>
      <c r="U62" s="143"/>
    </row>
    <row r="63" spans="1:21" s="144" customFormat="1">
      <c r="A63" s="154" t="s">
        <v>303</v>
      </c>
      <c r="B63" s="146">
        <f t="shared" ref="B63:R63" si="16">SUM(B8+B11+B13+B14+B15+B26+B27+B38+B42+B43+B54+B62)</f>
        <v>87830374</v>
      </c>
      <c r="C63" s="146">
        <f t="shared" si="16"/>
        <v>87830374</v>
      </c>
      <c r="D63" s="146">
        <f t="shared" si="16"/>
        <v>0</v>
      </c>
      <c r="E63" s="146">
        <f t="shared" si="16"/>
        <v>49343935</v>
      </c>
      <c r="F63" s="146">
        <f t="shared" si="16"/>
        <v>29911551</v>
      </c>
      <c r="G63" s="146">
        <f t="shared" si="16"/>
        <v>1763716</v>
      </c>
      <c r="H63" s="146">
        <f t="shared" si="16"/>
        <v>6811172</v>
      </c>
      <c r="I63" s="146">
        <f t="shared" si="16"/>
        <v>0</v>
      </c>
      <c r="J63" s="146">
        <f t="shared" si="16"/>
        <v>0</v>
      </c>
      <c r="K63" s="146">
        <f t="shared" si="16"/>
        <v>0</v>
      </c>
      <c r="L63" s="146">
        <f t="shared" si="16"/>
        <v>0</v>
      </c>
      <c r="M63" s="146">
        <f t="shared" si="16"/>
        <v>0</v>
      </c>
      <c r="N63" s="146">
        <f t="shared" si="16"/>
        <v>0</v>
      </c>
      <c r="O63" s="146">
        <f t="shared" si="16"/>
        <v>0</v>
      </c>
      <c r="P63" s="146">
        <f t="shared" si="16"/>
        <v>0</v>
      </c>
      <c r="Q63" s="146">
        <f t="shared" si="16"/>
        <v>0</v>
      </c>
      <c r="R63" s="370">
        <f t="shared" si="16"/>
        <v>87830374</v>
      </c>
      <c r="S63" s="146">
        <f>SUM(S10+S13+S14+S15+S26+S27+S38+S42+S43+S54)</f>
        <v>83945373</v>
      </c>
      <c r="T63" s="146">
        <f>SUM(T11+T13+T14+T15+T26+T27+T38+T42+T43+T54)</f>
        <v>0</v>
      </c>
      <c r="U63" s="143"/>
    </row>
    <row r="64" spans="1:21" s="144" customFormat="1" ht="24">
      <c r="A64" s="141" t="s">
        <v>1757</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150000</v>
      </c>
      <c r="C65" s="147">
        <v>150000</v>
      </c>
      <c r="D65" s="147"/>
      <c r="E65" s="147">
        <v>150000</v>
      </c>
      <c r="F65" s="147"/>
      <c r="G65" s="147"/>
      <c r="H65" s="147"/>
      <c r="I65" s="147"/>
      <c r="J65" s="147"/>
      <c r="K65" s="147"/>
      <c r="L65" s="147"/>
      <c r="M65" s="147"/>
      <c r="N65" s="147"/>
      <c r="O65" s="147"/>
      <c r="P65" s="147"/>
      <c r="Q65" s="147"/>
      <c r="R65" s="550">
        <f>SUM(E65:Q65)</f>
        <v>150000</v>
      </c>
      <c r="S65" s="147">
        <v>95000</v>
      </c>
      <c r="T65" s="147"/>
      <c r="U65" s="143"/>
    </row>
    <row r="66" spans="1:21" s="144" customFormat="1" ht="24" customHeight="1">
      <c r="A66" s="304" t="s">
        <v>1754</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1755</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1761</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2740</v>
      </c>
      <c r="B69" s="146">
        <f>SUM(C69+D69)</f>
        <v>240000</v>
      </c>
      <c r="C69" s="147">
        <v>240000</v>
      </c>
      <c r="D69" s="147"/>
      <c r="E69" s="147">
        <v>240000</v>
      </c>
      <c r="F69" s="147"/>
      <c r="G69" s="147"/>
      <c r="H69" s="147"/>
      <c r="I69" s="147"/>
      <c r="J69" s="147"/>
      <c r="K69" s="147"/>
      <c r="L69" s="147"/>
      <c r="M69" s="147"/>
      <c r="N69" s="147"/>
      <c r="O69" s="147"/>
      <c r="P69" s="147"/>
      <c r="Q69" s="147"/>
      <c r="R69" s="550">
        <f>SUM(E69:Q69)</f>
        <v>240000</v>
      </c>
      <c r="S69" s="147">
        <v>15000</v>
      </c>
      <c r="T69" s="147"/>
      <c r="U69" s="143"/>
    </row>
    <row r="70" spans="1:21" s="144" customFormat="1">
      <c r="A70" s="149" t="s">
        <v>1758</v>
      </c>
      <c r="B70" s="146">
        <f>SUM(C70:D70)</f>
        <v>390000</v>
      </c>
      <c r="C70" s="146">
        <f>SUM(C65:C69)</f>
        <v>390000</v>
      </c>
      <c r="D70" s="146">
        <f>SUM(D65:D69)</f>
        <v>0</v>
      </c>
      <c r="E70" s="146">
        <f t="shared" ref="E70:T70" si="17">SUM(E65:E69)</f>
        <v>390000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390000</v>
      </c>
      <c r="S70" s="150">
        <f t="shared" si="17"/>
        <v>110000</v>
      </c>
      <c r="T70" s="150">
        <f t="shared" si="17"/>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v>0</v>
      </c>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47">
        <v>0</v>
      </c>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738000</v>
      </c>
      <c r="C75" s="147">
        <v>738000</v>
      </c>
      <c r="D75" s="147"/>
      <c r="E75" s="147">
        <v>738000</v>
      </c>
      <c r="F75" s="147"/>
      <c r="G75" s="147"/>
      <c r="H75" s="147"/>
      <c r="I75" s="147"/>
      <c r="J75" s="147"/>
      <c r="K75" s="147"/>
      <c r="L75" s="147"/>
      <c r="M75" s="147"/>
      <c r="N75" s="147"/>
      <c r="O75" s="147"/>
      <c r="P75" s="147"/>
      <c r="Q75" s="147"/>
      <c r="R75" s="550">
        <f>SUM(E75:Q75)</f>
        <v>738000</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c r="A77" s="149" t="s">
        <v>615</v>
      </c>
      <c r="B77" s="146">
        <f>SUM(C77:D77)</f>
        <v>738000</v>
      </c>
      <c r="C77" s="146">
        <f>SUM(C72:C76)</f>
        <v>738000</v>
      </c>
      <c r="D77" s="146">
        <f>SUM(D72:D76)</f>
        <v>0</v>
      </c>
      <c r="E77" s="146">
        <f t="shared" ref="E77:Q77" si="18">SUM(E72:E76)</f>
        <v>738000</v>
      </c>
      <c r="F77" s="146">
        <f t="shared" si="18"/>
        <v>0</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738000</v>
      </c>
      <c r="S77" s="148"/>
      <c r="T77" s="148"/>
      <c r="U77" s="143"/>
    </row>
    <row r="78" spans="1:21" s="144" customFormat="1">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5175476</v>
      </c>
      <c r="C79" s="147">
        <v>5175476</v>
      </c>
      <c r="D79" s="147"/>
      <c r="E79" s="147">
        <v>5175476</v>
      </c>
      <c r="F79" s="147"/>
      <c r="G79" s="147"/>
      <c r="H79" s="147"/>
      <c r="I79" s="147"/>
      <c r="J79" s="147"/>
      <c r="K79" s="147"/>
      <c r="L79" s="147"/>
      <c r="M79" s="147"/>
      <c r="N79" s="147"/>
      <c r="O79" s="147"/>
      <c r="P79" s="147"/>
      <c r="Q79" s="147"/>
      <c r="R79" s="550">
        <f>SUM(E79:Q79)</f>
        <v>5175476</v>
      </c>
      <c r="S79" s="147">
        <v>5175476</v>
      </c>
      <c r="T79" s="147"/>
      <c r="U79" s="143"/>
    </row>
    <row r="80" spans="1:21" s="144" customFormat="1">
      <c r="A80" s="304" t="s">
        <v>58</v>
      </c>
      <c r="B80" s="146">
        <f>SUM(C80:D80)</f>
        <v>813399</v>
      </c>
      <c r="C80" s="147">
        <v>813399</v>
      </c>
      <c r="D80" s="147"/>
      <c r="E80" s="147">
        <v>813399</v>
      </c>
      <c r="F80" s="147"/>
      <c r="G80" s="147"/>
      <c r="H80" s="147"/>
      <c r="I80" s="147"/>
      <c r="J80" s="147"/>
      <c r="K80" s="147"/>
      <c r="L80" s="147"/>
      <c r="M80" s="147"/>
      <c r="N80" s="147"/>
      <c r="O80" s="147"/>
      <c r="P80" s="147"/>
      <c r="Q80" s="147"/>
      <c r="R80" s="550">
        <f>SUM(E80:Q80)</f>
        <v>813399</v>
      </c>
      <c r="S80" s="147">
        <v>813399</v>
      </c>
      <c r="T80" s="147"/>
      <c r="U80" s="143"/>
    </row>
    <row r="81" spans="1:21" s="144" customFormat="1">
      <c r="A81" s="149" t="s">
        <v>1316</v>
      </c>
      <c r="B81" s="146">
        <f>SUM(C81:D81)</f>
        <v>5988875</v>
      </c>
      <c r="C81" s="543">
        <f>SUM(C79:C80)</f>
        <v>5988875</v>
      </c>
      <c r="D81" s="543">
        <f t="shared" ref="D81:T81" si="19">SUM(D79:D80)</f>
        <v>0</v>
      </c>
      <c r="E81" s="543">
        <f t="shared" si="19"/>
        <v>5988875</v>
      </c>
      <c r="F81" s="543">
        <f t="shared" si="19"/>
        <v>0</v>
      </c>
      <c r="G81" s="543">
        <f t="shared" si="19"/>
        <v>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5988875</v>
      </c>
      <c r="S81" s="543">
        <f t="shared" si="19"/>
        <v>5988875</v>
      </c>
      <c r="T81" s="543">
        <f t="shared" si="19"/>
        <v>0</v>
      </c>
      <c r="U81" s="143"/>
    </row>
    <row r="82" spans="1:21" s="144" customFormat="1">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2411</v>
      </c>
      <c r="B83" s="146">
        <f t="shared" ref="B83:B95" si="20">SUM(C83+D83)</f>
        <v>254000</v>
      </c>
      <c r="C83" s="147">
        <v>254000</v>
      </c>
      <c r="D83" s="147"/>
      <c r="E83" s="147"/>
      <c r="F83" s="147"/>
      <c r="G83" s="147">
        <v>254000</v>
      </c>
      <c r="H83" s="147"/>
      <c r="I83" s="147"/>
      <c r="J83" s="147"/>
      <c r="K83" s="147"/>
      <c r="L83" s="147"/>
      <c r="M83" s="147"/>
      <c r="N83" s="147"/>
      <c r="O83" s="147"/>
      <c r="P83" s="147"/>
      <c r="Q83" s="147"/>
      <c r="R83" s="550">
        <f t="shared" ref="R83:R95" si="21">SUM(E83:Q83)</f>
        <v>254000</v>
      </c>
      <c r="S83" s="148"/>
      <c r="T83" s="148"/>
      <c r="U83" s="143"/>
    </row>
    <row r="84" spans="1:21" s="144" customFormat="1">
      <c r="A84" s="145" t="s">
        <v>777</v>
      </c>
      <c r="B84" s="146">
        <f t="shared" si="20"/>
        <v>50000</v>
      </c>
      <c r="C84" s="147">
        <v>50000</v>
      </c>
      <c r="D84" s="147"/>
      <c r="E84" s="147"/>
      <c r="F84" s="147"/>
      <c r="G84" s="147">
        <v>50000</v>
      </c>
      <c r="H84" s="147"/>
      <c r="I84" s="147"/>
      <c r="J84" s="147"/>
      <c r="K84" s="147"/>
      <c r="L84" s="147"/>
      <c r="M84" s="147"/>
      <c r="N84" s="147"/>
      <c r="O84" s="147"/>
      <c r="P84" s="147"/>
      <c r="Q84" s="147"/>
      <c r="R84" s="550">
        <f t="shared" si="21"/>
        <v>50000</v>
      </c>
      <c r="S84" s="147">
        <v>50000</v>
      </c>
      <c r="T84" s="147"/>
      <c r="U84" s="143"/>
    </row>
    <row r="85" spans="1:21" s="144" customFormat="1">
      <c r="A85" s="145" t="s">
        <v>778</v>
      </c>
      <c r="B85" s="146">
        <f t="shared" si="20"/>
        <v>716489</v>
      </c>
      <c r="C85" s="147">
        <v>716489</v>
      </c>
      <c r="D85" s="147"/>
      <c r="E85" s="147">
        <v>709473</v>
      </c>
      <c r="F85" s="147"/>
      <c r="G85" s="147">
        <v>7016</v>
      </c>
      <c r="H85" s="147"/>
      <c r="I85" s="147"/>
      <c r="J85" s="147"/>
      <c r="K85" s="147"/>
      <c r="L85" s="147"/>
      <c r="M85" s="147"/>
      <c r="N85" s="147"/>
      <c r="O85" s="147"/>
      <c r="P85" s="147"/>
      <c r="Q85" s="147"/>
      <c r="R85" s="550">
        <f t="shared" si="21"/>
        <v>716489</v>
      </c>
      <c r="S85" s="147">
        <v>716489</v>
      </c>
      <c r="T85" s="147"/>
      <c r="U85" s="143"/>
    </row>
    <row r="86" spans="1:21" s="144" customFormat="1">
      <c r="A86" s="145" t="s">
        <v>779</v>
      </c>
      <c r="B86" s="146">
        <f t="shared" si="20"/>
        <v>363511</v>
      </c>
      <c r="C86" s="147">
        <v>363511</v>
      </c>
      <c r="D86" s="147"/>
      <c r="E86" s="147">
        <v>363511</v>
      </c>
      <c r="F86" s="147"/>
      <c r="G86" s="147"/>
      <c r="H86" s="147"/>
      <c r="I86" s="147"/>
      <c r="J86" s="147"/>
      <c r="K86" s="147"/>
      <c r="L86" s="147"/>
      <c r="M86" s="147"/>
      <c r="N86" s="147"/>
      <c r="O86" s="147"/>
      <c r="P86" s="147"/>
      <c r="Q86" s="147"/>
      <c r="R86" s="550">
        <f t="shared" si="21"/>
        <v>363511</v>
      </c>
      <c r="S86" s="147">
        <v>363511</v>
      </c>
      <c r="T86" s="147"/>
      <c r="U86" s="143"/>
    </row>
    <row r="87" spans="1:21" s="144" customFormat="1">
      <c r="A87" s="145" t="s">
        <v>780</v>
      </c>
      <c r="B87" s="146">
        <f t="shared" si="20"/>
        <v>0</v>
      </c>
      <c r="C87" s="147"/>
      <c r="D87" s="147"/>
      <c r="E87" s="147"/>
      <c r="F87" s="147"/>
      <c r="G87" s="147"/>
      <c r="H87" s="147"/>
      <c r="I87" s="147"/>
      <c r="J87" s="147"/>
      <c r="K87" s="147"/>
      <c r="L87" s="147"/>
      <c r="M87" s="147"/>
      <c r="N87" s="147"/>
      <c r="O87" s="147"/>
      <c r="P87" s="147"/>
      <c r="Q87" s="147"/>
      <c r="R87" s="550">
        <f t="shared" si="21"/>
        <v>0</v>
      </c>
      <c r="S87" s="147"/>
      <c r="T87" s="147"/>
      <c r="U87" s="143"/>
    </row>
    <row r="88" spans="1:21" s="144" customFormat="1">
      <c r="A88" s="145" t="s">
        <v>781</v>
      </c>
      <c r="B88" s="146">
        <f t="shared" si="20"/>
        <v>30000</v>
      </c>
      <c r="C88" s="147">
        <v>30000</v>
      </c>
      <c r="D88" s="147"/>
      <c r="E88" s="147">
        <v>30000</v>
      </c>
      <c r="F88" s="147"/>
      <c r="G88" s="147"/>
      <c r="H88" s="147"/>
      <c r="I88" s="147"/>
      <c r="J88" s="147"/>
      <c r="K88" s="147"/>
      <c r="L88" s="147"/>
      <c r="M88" s="147"/>
      <c r="N88" s="147"/>
      <c r="O88" s="147"/>
      <c r="P88" s="147"/>
      <c r="Q88" s="147"/>
      <c r="R88" s="550">
        <f t="shared" si="21"/>
        <v>30000</v>
      </c>
      <c r="S88" s="148"/>
      <c r="T88" s="148"/>
      <c r="U88" s="143"/>
    </row>
    <row r="89" spans="1:21" s="144" customFormat="1">
      <c r="A89" s="145" t="s">
        <v>782</v>
      </c>
      <c r="B89" s="146">
        <f t="shared" si="20"/>
        <v>475000</v>
      </c>
      <c r="C89" s="147">
        <v>475000</v>
      </c>
      <c r="D89" s="147"/>
      <c r="E89" s="147">
        <v>475000</v>
      </c>
      <c r="F89" s="147"/>
      <c r="G89" s="147"/>
      <c r="H89" s="147"/>
      <c r="I89" s="147"/>
      <c r="J89" s="147"/>
      <c r="K89" s="147"/>
      <c r="L89" s="147"/>
      <c r="M89" s="147"/>
      <c r="N89" s="147"/>
      <c r="O89" s="147"/>
      <c r="P89" s="147"/>
      <c r="Q89" s="147"/>
      <c r="R89" s="550">
        <f t="shared" si="21"/>
        <v>475000</v>
      </c>
      <c r="S89" s="147">
        <v>475000</v>
      </c>
      <c r="T89" s="147"/>
      <c r="U89" s="143"/>
    </row>
    <row r="90" spans="1:21" s="144" customFormat="1">
      <c r="A90" s="145" t="s">
        <v>783</v>
      </c>
      <c r="B90" s="146">
        <f t="shared" si="20"/>
        <v>12000</v>
      </c>
      <c r="C90" s="147">
        <v>12000</v>
      </c>
      <c r="D90" s="147"/>
      <c r="E90" s="147">
        <v>12000</v>
      </c>
      <c r="F90" s="147"/>
      <c r="G90" s="147"/>
      <c r="H90" s="147"/>
      <c r="I90" s="147"/>
      <c r="J90" s="147"/>
      <c r="K90" s="147"/>
      <c r="L90" s="147"/>
      <c r="M90" s="147"/>
      <c r="N90" s="147"/>
      <c r="O90" s="147"/>
      <c r="P90" s="147"/>
      <c r="Q90" s="147"/>
      <c r="R90" s="550">
        <f t="shared" si="21"/>
        <v>12000</v>
      </c>
      <c r="S90" s="147">
        <v>12000</v>
      </c>
      <c r="T90" s="147"/>
      <c r="U90" s="143"/>
    </row>
    <row r="91" spans="1:21" s="144" customFormat="1">
      <c r="A91" s="145" t="s">
        <v>373</v>
      </c>
      <c r="B91" s="146">
        <f t="shared" si="20"/>
        <v>60000</v>
      </c>
      <c r="C91" s="147">
        <v>60000</v>
      </c>
      <c r="D91" s="147"/>
      <c r="E91" s="147">
        <v>60000</v>
      </c>
      <c r="F91" s="147"/>
      <c r="G91" s="147"/>
      <c r="H91" s="147"/>
      <c r="I91" s="147"/>
      <c r="J91" s="147"/>
      <c r="K91" s="147"/>
      <c r="L91" s="147"/>
      <c r="M91" s="147"/>
      <c r="N91" s="147"/>
      <c r="O91" s="147"/>
      <c r="P91" s="147"/>
      <c r="Q91" s="147"/>
      <c r="R91" s="550">
        <f t="shared" si="21"/>
        <v>60000</v>
      </c>
      <c r="S91" s="147">
        <v>60000</v>
      </c>
      <c r="T91" s="147"/>
      <c r="U91" s="143"/>
    </row>
    <row r="92" spans="1:21" s="144" customFormat="1">
      <c r="A92" s="304" t="s">
        <v>1318</v>
      </c>
      <c r="B92" s="146">
        <f t="shared" si="20"/>
        <v>10000</v>
      </c>
      <c r="C92" s="147">
        <v>10000</v>
      </c>
      <c r="D92" s="147"/>
      <c r="E92" s="147">
        <v>10000</v>
      </c>
      <c r="F92" s="147"/>
      <c r="G92" s="147"/>
      <c r="H92" s="147"/>
      <c r="I92" s="147"/>
      <c r="J92" s="147"/>
      <c r="K92" s="147"/>
      <c r="L92" s="147"/>
      <c r="M92" s="147"/>
      <c r="N92" s="147"/>
      <c r="O92" s="147"/>
      <c r="P92" s="147"/>
      <c r="Q92" s="147"/>
      <c r="R92" s="550">
        <f t="shared" si="21"/>
        <v>10000</v>
      </c>
      <c r="S92" s="147">
        <v>10000</v>
      </c>
      <c r="T92" s="147"/>
      <c r="U92" s="143"/>
    </row>
    <row r="93" spans="1:21" s="144" customFormat="1">
      <c r="A93" s="1193" t="s">
        <v>2741</v>
      </c>
      <c r="B93" s="146">
        <f t="shared" si="20"/>
        <v>50000</v>
      </c>
      <c r="C93" s="147">
        <v>50000</v>
      </c>
      <c r="D93" s="147"/>
      <c r="E93" s="147">
        <v>50000</v>
      </c>
      <c r="F93" s="147"/>
      <c r="G93" s="147"/>
      <c r="H93" s="147"/>
      <c r="I93" s="147"/>
      <c r="J93" s="147"/>
      <c r="K93" s="147"/>
      <c r="L93" s="147"/>
      <c r="M93" s="147"/>
      <c r="N93" s="147"/>
      <c r="O93" s="147"/>
      <c r="P93" s="147"/>
      <c r="Q93" s="147"/>
      <c r="R93" s="550">
        <f t="shared" si="21"/>
        <v>50000</v>
      </c>
      <c r="S93" s="147">
        <v>50000</v>
      </c>
      <c r="T93" s="147"/>
      <c r="U93" s="143"/>
    </row>
    <row r="94" spans="1:21" s="144" customFormat="1">
      <c r="A94" s="1193" t="s">
        <v>2742</v>
      </c>
      <c r="B94" s="146">
        <f t="shared" si="20"/>
        <v>75000</v>
      </c>
      <c r="C94" s="147">
        <v>75000</v>
      </c>
      <c r="D94" s="147"/>
      <c r="E94" s="147">
        <v>75000</v>
      </c>
      <c r="F94" s="147"/>
      <c r="G94" s="147"/>
      <c r="H94" s="147"/>
      <c r="I94" s="147"/>
      <c r="J94" s="147"/>
      <c r="K94" s="147"/>
      <c r="L94" s="147"/>
      <c r="M94" s="147"/>
      <c r="N94" s="147"/>
      <c r="O94" s="147"/>
      <c r="P94" s="147"/>
      <c r="Q94" s="147"/>
      <c r="R94" s="550">
        <f t="shared" si="21"/>
        <v>75000</v>
      </c>
      <c r="S94" s="147"/>
      <c r="T94" s="147"/>
      <c r="U94" s="143"/>
    </row>
    <row r="95" spans="1:21" s="144" customFormat="1">
      <c r="A95" s="1193" t="s">
        <v>2744</v>
      </c>
      <c r="B95" s="146">
        <f t="shared" si="20"/>
        <v>4000</v>
      </c>
      <c r="C95" s="147">
        <v>4000</v>
      </c>
      <c r="D95" s="147"/>
      <c r="E95" s="147">
        <v>4000</v>
      </c>
      <c r="F95" s="147"/>
      <c r="G95" s="147"/>
      <c r="H95" s="147"/>
      <c r="I95" s="147"/>
      <c r="J95" s="147"/>
      <c r="K95" s="147"/>
      <c r="L95" s="147"/>
      <c r="M95" s="147"/>
      <c r="N95" s="147"/>
      <c r="O95" s="147"/>
      <c r="P95" s="147"/>
      <c r="Q95" s="147"/>
      <c r="R95" s="550">
        <f t="shared" si="21"/>
        <v>4000</v>
      </c>
      <c r="S95" s="147"/>
      <c r="T95" s="147"/>
      <c r="U95" s="143"/>
    </row>
    <row r="96" spans="1:21" s="144" customFormat="1">
      <c r="A96" s="149" t="s">
        <v>784</v>
      </c>
      <c r="B96" s="146">
        <f>SUM(C96:D96)</f>
        <v>2100000</v>
      </c>
      <c r="C96" s="146">
        <f t="shared" ref="C96:R96" si="22">SUM(C83:C95)</f>
        <v>2100000</v>
      </c>
      <c r="D96" s="146">
        <f t="shared" si="22"/>
        <v>0</v>
      </c>
      <c r="E96" s="146">
        <f t="shared" si="22"/>
        <v>1788984</v>
      </c>
      <c r="F96" s="146">
        <f t="shared" si="22"/>
        <v>0</v>
      </c>
      <c r="G96" s="146">
        <f t="shared" si="22"/>
        <v>311016</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70">
        <f t="shared" si="22"/>
        <v>2100000</v>
      </c>
      <c r="S96" s="150">
        <f>SUM(S84:S87,S89:S95)</f>
        <v>1737000</v>
      </c>
      <c r="T96" s="146">
        <f>SUM(T84:T87,T89:T95)</f>
        <v>0</v>
      </c>
      <c r="U96" s="143"/>
    </row>
    <row r="97" spans="1:21" s="144" customFormat="1">
      <c r="A97" s="149" t="s">
        <v>785</v>
      </c>
      <c r="B97" s="146">
        <f>SUM(C97:D97)</f>
        <v>97047249</v>
      </c>
      <c r="C97" s="146">
        <f t="shared" ref="C97:R97" si="23">SUM(C63+C70+C77+C81+C96)</f>
        <v>97047249</v>
      </c>
      <c r="D97" s="146">
        <f t="shared" si="23"/>
        <v>0</v>
      </c>
      <c r="E97" s="146">
        <f t="shared" si="23"/>
        <v>58249794</v>
      </c>
      <c r="F97" s="146">
        <f t="shared" si="23"/>
        <v>29911551</v>
      </c>
      <c r="G97" s="146">
        <f t="shared" si="23"/>
        <v>2074732</v>
      </c>
      <c r="H97" s="146">
        <f t="shared" si="23"/>
        <v>6811172</v>
      </c>
      <c r="I97" s="146">
        <f t="shared" si="23"/>
        <v>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97047249</v>
      </c>
      <c r="S97" s="146">
        <f>SUM(S63+S70+S81+S96)</f>
        <v>91781248</v>
      </c>
      <c r="T97" s="146">
        <f>SUM(T63+T70+T81+T96)</f>
        <v>0</v>
      </c>
      <c r="U97" s="143"/>
    </row>
    <row r="98" spans="1:21" s="144" customFormat="1">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11498079</v>
      </c>
      <c r="C99" s="1014">
        <v>11498079</v>
      </c>
      <c r="D99" s="1014"/>
      <c r="E99" s="1014">
        <v>5255729</v>
      </c>
      <c r="F99" s="147"/>
      <c r="G99" s="147"/>
      <c r="H99" s="147"/>
      <c r="I99" s="147">
        <v>6242350</v>
      </c>
      <c r="J99" s="147"/>
      <c r="K99" s="147"/>
      <c r="L99" s="147"/>
      <c r="M99" s="147"/>
      <c r="N99" s="147"/>
      <c r="O99" s="147"/>
      <c r="P99" s="147"/>
      <c r="Q99" s="147"/>
      <c r="R99" s="550">
        <f>SUM(E99:Q99)</f>
        <v>11498079</v>
      </c>
      <c r="S99" s="147">
        <v>11498079</v>
      </c>
      <c r="T99" s="147"/>
      <c r="U99" s="143"/>
    </row>
    <row r="100" spans="1:21" s="144" customFormat="1">
      <c r="A100" s="304" t="s">
        <v>1759</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1760</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789</v>
      </c>
      <c r="B104" s="146">
        <f>SUM(C104:D104)</f>
        <v>11498079</v>
      </c>
      <c r="C104" s="146">
        <f>SUM(C99:C103)</f>
        <v>11498079</v>
      </c>
      <c r="D104" s="146">
        <f t="shared" ref="D104:T104" si="24">SUM(D99:D103)</f>
        <v>0</v>
      </c>
      <c r="E104" s="146">
        <f t="shared" si="24"/>
        <v>5255729</v>
      </c>
      <c r="F104" s="146">
        <f t="shared" si="24"/>
        <v>0</v>
      </c>
      <c r="G104" s="146">
        <f t="shared" si="24"/>
        <v>0</v>
      </c>
      <c r="H104" s="146">
        <f t="shared" si="24"/>
        <v>0</v>
      </c>
      <c r="I104" s="146">
        <f t="shared" si="24"/>
        <v>6242350</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70">
        <f t="shared" si="24"/>
        <v>11498079</v>
      </c>
      <c r="S104" s="150">
        <f t="shared" si="24"/>
        <v>11498079</v>
      </c>
      <c r="T104" s="150">
        <f t="shared" si="24"/>
        <v>0</v>
      </c>
      <c r="U104" s="143"/>
    </row>
    <row r="105" spans="1:21" s="144" customFormat="1">
      <c r="A105" s="149" t="s">
        <v>790</v>
      </c>
      <c r="B105" s="150">
        <f>SUM(C105:D105)</f>
        <v>108545328</v>
      </c>
      <c r="C105" s="150">
        <f t="shared" ref="C105:R105" si="25">SUM(C97+C104)</f>
        <v>108545328</v>
      </c>
      <c r="D105" s="150">
        <f t="shared" si="25"/>
        <v>0</v>
      </c>
      <c r="E105" s="150">
        <f t="shared" si="25"/>
        <v>63505523</v>
      </c>
      <c r="F105" s="150">
        <f t="shared" si="25"/>
        <v>29911551</v>
      </c>
      <c r="G105" s="150">
        <f t="shared" si="25"/>
        <v>2074732</v>
      </c>
      <c r="H105" s="150">
        <f t="shared" si="25"/>
        <v>6811172</v>
      </c>
      <c r="I105" s="150">
        <f t="shared" si="25"/>
        <v>6242350</v>
      </c>
      <c r="J105" s="150">
        <f t="shared" si="25"/>
        <v>0</v>
      </c>
      <c r="K105" s="150">
        <f t="shared" si="25"/>
        <v>0</v>
      </c>
      <c r="L105" s="150">
        <f t="shared" si="25"/>
        <v>0</v>
      </c>
      <c r="M105" s="150">
        <f t="shared" si="25"/>
        <v>0</v>
      </c>
      <c r="N105" s="150">
        <f t="shared" si="25"/>
        <v>0</v>
      </c>
      <c r="O105" s="150">
        <f t="shared" si="25"/>
        <v>0</v>
      </c>
      <c r="P105" s="150">
        <f t="shared" si="25"/>
        <v>0</v>
      </c>
      <c r="Q105" s="150">
        <f t="shared" si="25"/>
        <v>0</v>
      </c>
      <c r="R105" s="370">
        <f t="shared" si="25"/>
        <v>108545328</v>
      </c>
      <c r="S105" s="150">
        <f>S97+S104</f>
        <v>103279327</v>
      </c>
      <c r="T105" s="150">
        <f>T97+T104</f>
        <v>0</v>
      </c>
      <c r="U105" s="143"/>
    </row>
    <row r="106" spans="1:21">
      <c r="A106" s="548" t="s">
        <v>1045</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103279327</v>
      </c>
      <c r="T107" s="150">
        <f>T105+T106</f>
        <v>0</v>
      </c>
    </row>
    <row r="108" spans="1:21" s="201" customFormat="1">
      <c r="A108" s="162" t="s">
        <v>892</v>
      </c>
      <c r="B108" s="157"/>
      <c r="C108" s="157"/>
      <c r="D108" s="157"/>
      <c r="E108" s="323">
        <f>Application!AO640</f>
        <v>63505523</v>
      </c>
      <c r="F108" s="323">
        <f>Application!AO627</f>
        <v>29911551</v>
      </c>
      <c r="G108" s="323">
        <f>Application!AO628</f>
        <v>2074732</v>
      </c>
      <c r="H108" s="323">
        <f>Application!AO629</f>
        <v>6811172</v>
      </c>
      <c r="I108" s="323">
        <f>Application!AO630</f>
        <v>6242350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6"/>
      <c r="B112" s="157"/>
      <c r="C112" s="157"/>
      <c r="D112" s="157"/>
    </row>
    <row r="113" spans="1:21">
      <c r="A113" s="156" t="s">
        <v>1044</v>
      </c>
      <c r="B113" s="157"/>
      <c r="C113" s="157"/>
      <c r="D113" s="157"/>
    </row>
    <row r="114" spans="1:21">
      <c r="A114" s="156" t="s">
        <v>2412</v>
      </c>
      <c r="B114" s="157"/>
      <c r="C114" s="157"/>
      <c r="D114" s="157"/>
    </row>
    <row r="115" spans="1:21" ht="12" customHeight="1">
      <c r="A115" s="336"/>
      <c r="B115" s="157"/>
      <c r="C115" s="157"/>
      <c r="D115" s="157"/>
    </row>
    <row r="116" spans="1:21">
      <c r="A116" s="373" t="s">
        <v>1047</v>
      </c>
      <c r="B116" s="157"/>
      <c r="C116" s="157"/>
      <c r="D116" s="157"/>
    </row>
    <row r="117" spans="1:21">
      <c r="A117" s="373" t="s">
        <v>1331</v>
      </c>
      <c r="B117" s="157"/>
      <c r="C117" s="157"/>
      <c r="D117" s="157"/>
    </row>
    <row r="118" spans="1:21">
      <c r="A118" s="373" t="s">
        <v>1046</v>
      </c>
      <c r="B118" s="157"/>
      <c r="C118" s="157"/>
      <c r="D118" s="157"/>
    </row>
    <row r="119" spans="1:21">
      <c r="A119" s="373" t="s">
        <v>1048</v>
      </c>
      <c r="B119" s="157"/>
      <c r="C119" s="157"/>
      <c r="D119" s="157"/>
    </row>
    <row r="120" spans="1:21" ht="12" customHeight="1">
      <c r="A120" s="372"/>
      <c r="B120" s="157"/>
      <c r="C120" s="157"/>
      <c r="D120" s="157"/>
    </row>
    <row r="121" spans="1:21" ht="15.75">
      <c r="A121" s="366" t="s">
        <v>1030</v>
      </c>
      <c r="B121" s="157"/>
      <c r="C121" s="157"/>
      <c r="D121" s="157"/>
    </row>
    <row r="122" spans="1:21">
      <c r="A122" s="353" t="s">
        <v>1014</v>
      </c>
      <c r="B122" s="352"/>
      <c r="C122" s="352"/>
      <c r="D122" s="1892" t="s">
        <v>1015</v>
      </c>
      <c r="E122" s="1892"/>
      <c r="F122" s="1892"/>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84" t="s">
        <v>1332</v>
      </c>
      <c r="E123" s="1570"/>
      <c r="F123" s="1570"/>
      <c r="G123" s="1570"/>
      <c r="H123" s="1570"/>
      <c r="I123" s="1570"/>
      <c r="J123" s="1570"/>
      <c r="K123" s="1570"/>
      <c r="L123" s="1570"/>
      <c r="M123" s="1570"/>
      <c r="N123" s="1570"/>
      <c r="O123" s="1570"/>
      <c r="P123" s="1570"/>
      <c r="Q123" s="1570"/>
      <c r="R123" s="1570"/>
      <c r="S123" s="1570"/>
      <c r="T123" s="352"/>
      <c r="U123" s="354"/>
    </row>
    <row r="124" spans="1:21" ht="12.75">
      <c r="A124" s="117" t="s">
        <v>1017</v>
      </c>
      <c r="B124" s="361"/>
      <c r="C124" s="117"/>
      <c r="D124" s="1570"/>
      <c r="E124" s="1570"/>
      <c r="F124" s="1570"/>
      <c r="G124" s="1570"/>
      <c r="H124" s="1570"/>
      <c r="I124" s="1570"/>
      <c r="J124" s="1570"/>
      <c r="K124" s="1570"/>
      <c r="L124" s="1570"/>
      <c r="M124" s="1570"/>
      <c r="N124" s="1570"/>
      <c r="O124" s="1570"/>
      <c r="P124" s="1570"/>
      <c r="Q124" s="1570"/>
      <c r="R124" s="1570"/>
      <c r="S124" s="1570"/>
      <c r="T124" s="352"/>
      <c r="U124" s="354"/>
    </row>
    <row r="125" spans="1:21" ht="12.75">
      <c r="A125" s="117" t="s">
        <v>1018</v>
      </c>
      <c r="B125" s="361"/>
      <c r="C125" s="117"/>
      <c r="D125" s="1570"/>
      <c r="E125" s="1570"/>
      <c r="F125" s="1570"/>
      <c r="G125" s="1570"/>
      <c r="H125" s="1570"/>
      <c r="I125" s="1570"/>
      <c r="J125" s="1570"/>
      <c r="K125" s="1570"/>
      <c r="L125" s="1570"/>
      <c r="M125" s="1570"/>
      <c r="N125" s="1570"/>
      <c r="O125" s="1570"/>
      <c r="P125" s="1570"/>
      <c r="Q125" s="1570"/>
      <c r="R125" s="1570"/>
      <c r="S125" s="1570"/>
      <c r="T125" s="352"/>
      <c r="U125" s="354"/>
    </row>
    <row r="126" spans="1:21" ht="12.75">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1021</v>
      </c>
      <c r="B128" s="361"/>
      <c r="C128" s="117"/>
      <c r="D128" s="1887"/>
      <c r="E128" s="1887"/>
      <c r="F128" s="1887"/>
      <c r="G128" s="1887"/>
      <c r="H128" s="1887"/>
      <c r="I128" s="117"/>
      <c r="J128" s="1883"/>
      <c r="K128" s="1883"/>
      <c r="L128" s="117"/>
      <c r="M128" s="117"/>
      <c r="N128" s="117"/>
      <c r="O128" s="117"/>
      <c r="P128" s="117"/>
      <c r="Q128" s="117"/>
      <c r="R128" s="117"/>
      <c r="S128" s="117"/>
      <c r="T128" s="352"/>
      <c r="U128" s="354"/>
    </row>
    <row r="129" spans="1:21" ht="12.75">
      <c r="A129" s="117" t="s">
        <v>301</v>
      </c>
      <c r="B129" s="361"/>
      <c r="C129" s="117"/>
      <c r="D129" s="1891" t="s">
        <v>1022</v>
      </c>
      <c r="E129" s="1891"/>
      <c r="F129" s="1891"/>
      <c r="G129" s="1891"/>
      <c r="H129" s="1891"/>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1024</v>
      </c>
      <c r="B131" s="362">
        <f>SUM(B123:B129)</f>
        <v>0</v>
      </c>
      <c r="C131" s="117"/>
      <c r="D131" s="1493"/>
      <c r="E131" s="1493"/>
      <c r="F131" s="1493"/>
      <c r="G131" s="1493"/>
      <c r="H131" s="1493"/>
      <c r="I131" s="117"/>
      <c r="J131" s="1493"/>
      <c r="K131" s="1493"/>
      <c r="L131" s="1493"/>
      <c r="M131" s="1493"/>
      <c r="N131" s="117"/>
      <c r="O131" s="117"/>
      <c r="P131" s="117"/>
      <c r="Q131" s="117"/>
      <c r="R131" s="117"/>
      <c r="S131" s="117"/>
      <c r="T131" s="352"/>
      <c r="U131" s="354"/>
    </row>
    <row r="132" spans="1:21" ht="12" customHeight="1">
      <c r="A132" s="364"/>
      <c r="B132" s="117"/>
      <c r="C132" s="117"/>
      <c r="D132" s="1885" t="s">
        <v>1025</v>
      </c>
      <c r="E132" s="1885"/>
      <c r="F132" s="1885"/>
      <c r="G132" s="1885"/>
      <c r="H132" s="1885"/>
      <c r="I132" s="117"/>
      <c r="J132" s="1885" t="s">
        <v>1026</v>
      </c>
      <c r="K132" s="1885"/>
      <c r="L132" s="1885"/>
      <c r="M132" s="1885"/>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86"/>
      <c r="B138" s="1887"/>
      <c r="C138" s="1887"/>
      <c r="D138" s="356"/>
      <c r="E138" s="1883"/>
      <c r="F138" s="1883"/>
      <c r="G138" s="117"/>
      <c r="H138" s="117"/>
      <c r="I138" s="117"/>
      <c r="J138" s="117"/>
      <c r="K138" s="117"/>
      <c r="L138" s="117"/>
      <c r="M138" s="117"/>
      <c r="N138" s="117"/>
      <c r="O138" s="117"/>
      <c r="P138" s="117"/>
      <c r="Q138" s="117"/>
      <c r="R138" s="117"/>
      <c r="S138" s="117"/>
      <c r="T138" s="358"/>
      <c r="U138" s="359"/>
    </row>
    <row r="139" spans="1:21" ht="12.75">
      <c r="A139" s="1882" t="s">
        <v>1029</v>
      </c>
      <c r="B139" s="1882"/>
      <c r="C139" s="1882"/>
      <c r="D139" s="356"/>
      <c r="E139" s="117" t="s">
        <v>1023</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86" workbookViewId="0">
      <selection activeCell="C4" sqref="C4"/>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95" t="s">
        <v>1335</v>
      </c>
      <c r="B1" s="1896"/>
      <c r="C1" s="1896"/>
      <c r="D1" s="1896"/>
      <c r="E1" s="1896"/>
      <c r="F1" s="1896"/>
      <c r="G1" s="1896"/>
      <c r="H1" s="1896"/>
      <c r="I1" s="1896"/>
      <c r="J1" s="1897"/>
      <c r="K1" s="386"/>
    </row>
    <row r="2" spans="1:11" s="432" customFormat="1" ht="72">
      <c r="A2" s="429"/>
      <c r="B2" s="430" t="s">
        <v>1052</v>
      </c>
      <c r="C2" s="430" t="s">
        <v>1337</v>
      </c>
      <c r="D2" s="430" t="s">
        <v>1338</v>
      </c>
      <c r="E2" s="430" t="s">
        <v>1263</v>
      </c>
      <c r="F2" s="430" t="s">
        <v>1339</v>
      </c>
      <c r="G2" s="430" t="s">
        <v>1340</v>
      </c>
      <c r="H2" s="430" t="s">
        <v>1053</v>
      </c>
      <c r="I2" s="430" t="s">
        <v>1341</v>
      </c>
      <c r="J2" s="430" t="s">
        <v>1342</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602</v>
      </c>
      <c r="B8" s="392">
        <f>'Sources and Uses Budget'!C8</f>
        <v>0</v>
      </c>
      <c r="C8" s="392">
        <f>SUM(C4:C7)</f>
        <v>0</v>
      </c>
      <c r="D8" s="392">
        <f>SUM(D4:D7)</f>
        <v>0</v>
      </c>
      <c r="E8" s="394"/>
      <c r="F8" s="394"/>
      <c r="G8" s="394"/>
      <c r="H8" s="394"/>
      <c r="I8" s="394"/>
      <c r="J8" s="394"/>
      <c r="K8" s="390"/>
    </row>
    <row r="9" spans="1:11" s="391" customFormat="1">
      <c r="A9" s="395" t="s">
        <v>603</v>
      </c>
      <c r="B9" s="392">
        <f>'Sources and Uses Budget'!C9</f>
        <v>0</v>
      </c>
      <c r="C9" s="393"/>
      <c r="D9" s="393"/>
      <c r="E9" s="394"/>
      <c r="F9" s="394"/>
      <c r="G9" s="394"/>
      <c r="H9" s="392">
        <f>'Sources and Uses Budget'!T9</f>
        <v>0</v>
      </c>
      <c r="I9" s="393"/>
      <c r="J9" s="393"/>
      <c r="K9" s="390"/>
    </row>
    <row r="10" spans="1:11" s="391" customFormat="1">
      <c r="A10" s="395" t="s">
        <v>604</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605</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0</v>
      </c>
      <c r="C12" s="392">
        <f>SUM(C8+C11)</f>
        <v>0</v>
      </c>
      <c r="D12" s="392">
        <f>SUM(D8+D11)</f>
        <v>0</v>
      </c>
      <c r="E12" s="394"/>
      <c r="F12" s="394"/>
      <c r="G12" s="394"/>
      <c r="H12" s="394"/>
      <c r="I12" s="394"/>
      <c r="J12" s="394"/>
      <c r="K12" s="390"/>
    </row>
    <row r="13" spans="1:11" s="391" customFormat="1">
      <c r="A13" s="397" t="s">
        <v>918</v>
      </c>
      <c r="B13" s="392">
        <f>'Sources and Uses Budget'!C13</f>
        <v>103001</v>
      </c>
      <c r="C13" s="393"/>
      <c r="D13" s="393"/>
      <c r="E13" s="392">
        <f>'Sources and Uses Budget'!S13</f>
        <v>0</v>
      </c>
      <c r="F13" s="393"/>
      <c r="G13" s="393"/>
      <c r="H13" s="392">
        <f>'Sources and Uses Budget'!T13</f>
        <v>0</v>
      </c>
      <c r="I13" s="393"/>
      <c r="J13" s="393"/>
      <c r="K13" s="390"/>
    </row>
    <row r="14" spans="1:11" s="391" customFormat="1" ht="24">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606</v>
      </c>
      <c r="B16" s="389"/>
      <c r="C16" s="389"/>
      <c r="D16" s="389"/>
      <c r="E16" s="389"/>
      <c r="F16" s="389"/>
      <c r="G16" s="389"/>
      <c r="H16" s="389"/>
      <c r="I16" s="389"/>
      <c r="J16" s="389"/>
      <c r="K16" s="390"/>
    </row>
    <row r="17" spans="1:11" s="391" customFormat="1">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608</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609</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1753</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607</v>
      </c>
      <c r="B29" s="392">
        <f>'Sources and Uses Budget'!C29</f>
        <v>6992473</v>
      </c>
      <c r="C29" s="393"/>
      <c r="D29" s="393"/>
      <c r="E29" s="392">
        <f>'Sources and Uses Budget'!S29</f>
        <v>6992473</v>
      </c>
      <c r="F29" s="393"/>
      <c r="G29" s="393"/>
      <c r="H29" s="392">
        <f>'Sources and Uses Budget'!T29</f>
        <v>0</v>
      </c>
      <c r="I29" s="393"/>
      <c r="J29" s="393"/>
      <c r="K29" s="390"/>
    </row>
    <row r="30" spans="1:11" s="391" customFormat="1">
      <c r="A30" s="145" t="s">
        <v>608</v>
      </c>
      <c r="B30" s="392">
        <f>'Sources and Uses Budget'!C30</f>
        <v>57870877</v>
      </c>
      <c r="C30" s="393"/>
      <c r="D30" s="393"/>
      <c r="E30" s="392">
        <f>'Sources and Uses Budget'!S30</f>
        <v>57870877</v>
      </c>
      <c r="F30" s="393"/>
      <c r="G30" s="393"/>
      <c r="H30" s="392">
        <f>'Sources and Uses Budget'!T30</f>
        <v>0</v>
      </c>
      <c r="I30" s="393"/>
      <c r="J30" s="393"/>
      <c r="K30" s="390"/>
    </row>
    <row r="31" spans="1:11" s="391" customFormat="1">
      <c r="A31" s="145" t="s">
        <v>609</v>
      </c>
      <c r="B31" s="392">
        <f>'Sources and Uses Budget'!C31</f>
        <v>4091400</v>
      </c>
      <c r="C31" s="393"/>
      <c r="D31" s="393"/>
      <c r="E31" s="392">
        <f>'Sources and Uses Budget'!S31</f>
        <v>4091400</v>
      </c>
      <c r="F31" s="393"/>
      <c r="G31" s="393"/>
      <c r="H31" s="392">
        <f>'Sources and Uses Budget'!T31</f>
        <v>0</v>
      </c>
      <c r="I31" s="393"/>
      <c r="J31" s="393"/>
      <c r="K31" s="390"/>
    </row>
    <row r="32" spans="1:11" s="391" customFormat="1">
      <c r="A32" s="145" t="s">
        <v>137</v>
      </c>
      <c r="B32" s="392">
        <f>'Sources and Uses Budget'!C32</f>
        <v>1145700</v>
      </c>
      <c r="C32" s="393"/>
      <c r="D32" s="393"/>
      <c r="E32" s="392">
        <f>'Sources and Uses Budget'!S32</f>
        <v>1145700</v>
      </c>
      <c r="F32" s="393"/>
      <c r="G32" s="393"/>
      <c r="H32" s="392">
        <f>'Sources and Uses Budget'!T32</f>
        <v>0</v>
      </c>
      <c r="I32" s="393"/>
      <c r="J32" s="393"/>
      <c r="K32" s="390"/>
    </row>
    <row r="33" spans="1:11" s="391" customFormat="1">
      <c r="A33" s="145" t="s">
        <v>138</v>
      </c>
      <c r="B33" s="392">
        <f>'Sources and Uses Budget'!C33</f>
        <v>1145700</v>
      </c>
      <c r="C33" s="393"/>
      <c r="D33" s="393"/>
      <c r="E33" s="392">
        <f>'Sources and Uses Budget'!S33</f>
        <v>1145700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1666932</v>
      </c>
      <c r="C35" s="393"/>
      <c r="D35" s="393"/>
      <c r="E35" s="392">
        <f>'Sources and Uses Budget'!S35</f>
        <v>1666932</v>
      </c>
      <c r="F35" s="393"/>
      <c r="G35" s="393"/>
      <c r="H35" s="392">
        <f>'Sources and Uses Budget'!T35</f>
        <v>0</v>
      </c>
      <c r="I35" s="393"/>
      <c r="J35" s="393"/>
      <c r="K35" s="390"/>
    </row>
    <row r="36" spans="1:11" s="391" customFormat="1">
      <c r="A36" s="542" t="s">
        <v>1753</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Solar</v>
      </c>
      <c r="B37" s="392">
        <f>'Sources and Uses Budget'!C37</f>
        <v>1022291</v>
      </c>
      <c r="C37" s="393"/>
      <c r="D37" s="393"/>
      <c r="E37" s="392">
        <f>'Sources and Uses Budget'!S37</f>
        <v>1022291</v>
      </c>
      <c r="F37" s="393"/>
      <c r="G37" s="393"/>
      <c r="H37" s="392">
        <f>'Sources and Uses Budget'!T37</f>
        <v>0</v>
      </c>
      <c r="I37" s="393"/>
      <c r="J37" s="393"/>
      <c r="K37" s="390"/>
    </row>
    <row r="38" spans="1:11" s="391" customFormat="1">
      <c r="A38" s="396" t="s">
        <v>143</v>
      </c>
      <c r="B38" s="392">
        <f>'Sources and Uses Budget'!C38</f>
        <v>73935373</v>
      </c>
      <c r="C38" s="392">
        <f>SUM(C29:C37)</f>
        <v>0</v>
      </c>
      <c r="D38" s="392">
        <f>SUM(D29:D37)</f>
        <v>0</v>
      </c>
      <c r="E38" s="392">
        <f>'Sources and Uses Budget'!S38</f>
        <v>73935373</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2150000</v>
      </c>
      <c r="C40" s="393"/>
      <c r="D40" s="393"/>
      <c r="E40" s="392">
        <f>'Sources and Uses Budget'!S40</f>
        <v>2150000</v>
      </c>
      <c r="F40" s="393"/>
      <c r="G40" s="393"/>
      <c r="H40" s="392">
        <f>'Sources and Uses Budget'!T40</f>
        <v>0</v>
      </c>
      <c r="I40" s="393"/>
      <c r="J40" s="393"/>
      <c r="K40" s="390"/>
    </row>
    <row r="41" spans="1:11" s="391" customFormat="1">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2150000</v>
      </c>
      <c r="C42" s="392">
        <f>SUM(C39:C41)</f>
        <v>0</v>
      </c>
      <c r="D42" s="392">
        <f>SUM(D39:D41)</f>
        <v>0</v>
      </c>
      <c r="E42" s="392">
        <f>'Sources and Uses Budget'!S42</f>
        <v>2150000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650000</v>
      </c>
      <c r="C43" s="393"/>
      <c r="D43" s="393"/>
      <c r="E43" s="392">
        <f>'Sources and Uses Budget'!S43</f>
        <v>650000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4300000</v>
      </c>
      <c r="C45" s="393"/>
      <c r="D45" s="393"/>
      <c r="E45" s="392">
        <f>'Sources and Uses Budget'!S45</f>
        <v>4300000</v>
      </c>
      <c r="F45" s="393"/>
      <c r="G45" s="393"/>
      <c r="H45" s="392">
        <f>'Sources and Uses Budget'!T45</f>
        <v>0</v>
      </c>
      <c r="I45" s="393"/>
      <c r="J45" s="393"/>
      <c r="K45" s="390"/>
    </row>
    <row r="46" spans="1:11" s="391" customFormat="1">
      <c r="A46" s="395" t="s">
        <v>151</v>
      </c>
      <c r="B46" s="392">
        <f>'Sources and Uses Budget'!C46</f>
        <v>500000</v>
      </c>
      <c r="C46" s="393"/>
      <c r="D46" s="393"/>
      <c r="E46" s="392">
        <f>'Sources and Uses Budget'!S46</f>
        <v>500000</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540000</v>
      </c>
      <c r="C49" s="393"/>
      <c r="D49" s="393"/>
      <c r="E49" s="392">
        <f>'Sources and Uses Budget'!S49</f>
        <v>0</v>
      </c>
      <c r="F49" s="393"/>
      <c r="G49" s="393"/>
      <c r="H49" s="392">
        <f>'Sources and Uses Budget'!T49</f>
        <v>0</v>
      </c>
      <c r="I49" s="393"/>
      <c r="J49" s="393"/>
      <c r="K49" s="390"/>
    </row>
    <row r="50" spans="1:11" s="391" customFormat="1">
      <c r="A50" s="395" t="s">
        <v>156</v>
      </c>
      <c r="B50" s="392">
        <f>'Sources and Uses Budget'!C50</f>
        <v>80000</v>
      </c>
      <c r="C50" s="393"/>
      <c r="D50" s="393"/>
      <c r="E50" s="392">
        <f>'Sources and Uses Budget'!S50</f>
        <v>80000</v>
      </c>
      <c r="F50" s="393"/>
      <c r="G50" s="393"/>
      <c r="H50" s="392">
        <f>'Sources and Uses Budget'!T50</f>
        <v>0</v>
      </c>
      <c r="I50" s="393"/>
      <c r="J50" s="393"/>
      <c r="K50" s="390"/>
    </row>
    <row r="51" spans="1:11" s="391" customFormat="1">
      <c r="A51" s="395" t="s">
        <v>154</v>
      </c>
      <c r="B51" s="392">
        <f>'Sources and Uses Budget'!C51</f>
        <v>30000</v>
      </c>
      <c r="C51" s="393"/>
      <c r="D51" s="393"/>
      <c r="E51" s="392">
        <f>'Sources and Uses Budget'!S51</f>
        <v>30000</v>
      </c>
      <c r="F51" s="393"/>
      <c r="G51" s="393"/>
      <c r="H51" s="392">
        <f>'Sources and Uses Budget'!T51</f>
        <v>0</v>
      </c>
      <c r="I51" s="393"/>
      <c r="J51" s="393"/>
      <c r="K51" s="390"/>
    </row>
    <row r="52" spans="1:11" s="391" customFormat="1">
      <c r="A52" s="395" t="s">
        <v>155</v>
      </c>
      <c r="B52" s="392">
        <f>'Sources and Uses Budget'!C52</f>
        <v>700000</v>
      </c>
      <c r="C52" s="393"/>
      <c r="D52" s="393"/>
      <c r="E52" s="392">
        <f>'Sources and Uses Budget'!S52</f>
        <v>700000</v>
      </c>
      <c r="F52" s="393"/>
      <c r="G52" s="393"/>
      <c r="H52" s="392">
        <f>'Sources and Uses Budget'!T52</f>
        <v>0</v>
      </c>
      <c r="I52" s="393"/>
      <c r="J52" s="393"/>
      <c r="K52" s="390"/>
    </row>
    <row r="53" spans="1:11" s="391" customFormat="1" ht="36">
      <c r="A53" s="395" t="str">
        <f>'Sources and Uses Budget'!$A53</f>
        <v>Other:Taxable Construction Loan interest, Construction service fee and Construction management</v>
      </c>
      <c r="B53" s="392">
        <f>'Sources and Uses Budget'!C53</f>
        <v>1600000</v>
      </c>
      <c r="C53" s="393"/>
      <c r="D53" s="393"/>
      <c r="E53" s="392">
        <f>'Sources and Uses Budget'!S53</f>
        <v>1600000</v>
      </c>
      <c r="F53" s="393"/>
      <c r="G53" s="393"/>
      <c r="H53" s="392">
        <f>'Sources and Uses Budget'!T53</f>
        <v>0</v>
      </c>
      <c r="I53" s="393"/>
      <c r="J53" s="393"/>
      <c r="K53" s="390"/>
    </row>
    <row r="54" spans="1:11" s="400" customFormat="1">
      <c r="A54" s="396" t="s">
        <v>157</v>
      </c>
      <c r="B54" s="392">
        <f>'Sources and Uses Budget'!C54</f>
        <v>7750000</v>
      </c>
      <c r="C54" s="398">
        <f>SUM(C45:C53)</f>
        <v>0</v>
      </c>
      <c r="D54" s="398">
        <f>SUM(D45:D53)</f>
        <v>0</v>
      </c>
      <c r="E54" s="392">
        <f>'Sources and Uses Budget'!S54</f>
        <v>7210000</v>
      </c>
      <c r="F54" s="398">
        <f>SUM(F45:F53)</f>
        <v>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142000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Other:Interest Prior to Conversion</v>
      </c>
      <c r="B61" s="392">
        <f>'Sources and Uses Budget'!C61</f>
        <v>3100000</v>
      </c>
      <c r="C61" s="393"/>
      <c r="D61" s="393"/>
      <c r="E61" s="394"/>
      <c r="F61" s="394"/>
      <c r="G61" s="394"/>
      <c r="H61" s="394"/>
      <c r="I61" s="394"/>
      <c r="J61" s="394"/>
      <c r="K61" s="390"/>
    </row>
    <row r="62" spans="1:11" s="391" customFormat="1" ht="13.7" customHeight="1">
      <c r="A62" s="396" t="s">
        <v>302</v>
      </c>
      <c r="B62" s="392">
        <f>'Sources and Uses Budget'!C62</f>
        <v>3242000</v>
      </c>
      <c r="C62" s="392">
        <f>SUM(C56:C61)</f>
        <v>0</v>
      </c>
      <c r="D62" s="392">
        <f>SUM(D56:D61)</f>
        <v>0</v>
      </c>
      <c r="E62" s="394"/>
      <c r="F62" s="394"/>
      <c r="G62" s="394"/>
      <c r="H62" s="394"/>
      <c r="I62" s="394"/>
      <c r="J62" s="394"/>
      <c r="K62" s="390"/>
    </row>
    <row r="63" spans="1:11" s="391" customFormat="1">
      <c r="A63" s="401" t="s">
        <v>303</v>
      </c>
      <c r="B63" s="392">
        <f>'Sources and Uses Budget'!C63</f>
        <v>87830374</v>
      </c>
      <c r="C63" s="392">
        <f>SUM(C8+C11+C13+C14+C15+C26+C27+C38+C42+C43+C54+C62)</f>
        <v>0</v>
      </c>
      <c r="D63" s="392">
        <f>SUM(D8+D11+D13+D14+D15+D26+D27+D38+D42+D43+D54+D62)</f>
        <v>0</v>
      </c>
      <c r="E63" s="392">
        <f>'Sources and Uses Budget'!S63</f>
        <v>83945373</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1757</v>
      </c>
      <c r="B64" s="389"/>
      <c r="C64" s="389"/>
      <c r="D64" s="389"/>
      <c r="E64" s="389"/>
      <c r="F64" s="389"/>
      <c r="G64" s="389"/>
      <c r="H64" s="389"/>
      <c r="I64" s="389"/>
      <c r="J64" s="389"/>
      <c r="K64" s="390"/>
    </row>
    <row r="65" spans="1:11" s="391" customFormat="1">
      <c r="A65" s="145" t="s">
        <v>171</v>
      </c>
      <c r="B65" s="392">
        <f>'Sources and Uses Budget'!C65</f>
        <v>150000</v>
      </c>
      <c r="C65" s="393"/>
      <c r="D65" s="393"/>
      <c r="E65" s="392">
        <f>'Sources and Uses Budget'!S65</f>
        <v>95000</v>
      </c>
      <c r="F65" s="393"/>
      <c r="G65" s="393"/>
      <c r="H65" s="392">
        <f>'Sources and Uses Budget'!T65</f>
        <v>0</v>
      </c>
      <c r="I65" s="393"/>
      <c r="J65" s="393"/>
      <c r="K65" s="390"/>
    </row>
    <row r="66" spans="1:11" s="391" customFormat="1" ht="24">
      <c r="A66" s="304" t="s">
        <v>1754</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1755</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1761</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Partnership and Transaction</v>
      </c>
      <c r="B69" s="392">
        <f>'Sources and Uses Budget'!C69</f>
        <v>240000</v>
      </c>
      <c r="C69" s="393"/>
      <c r="D69" s="393"/>
      <c r="E69" s="392">
        <f>'Sources and Uses Budget'!S69</f>
        <v>15000</v>
      </c>
      <c r="F69" s="393"/>
      <c r="G69" s="393"/>
      <c r="H69" s="392">
        <f>'Sources and Uses Budget'!T69</f>
        <v>0</v>
      </c>
      <c r="I69" s="393"/>
      <c r="J69" s="393"/>
      <c r="K69" s="390"/>
    </row>
    <row r="70" spans="1:11" s="391" customFormat="1">
      <c r="A70" s="396" t="s">
        <v>610</v>
      </c>
      <c r="B70" s="392">
        <f>'Sources and Uses Budget'!C70</f>
        <v>390000</v>
      </c>
      <c r="C70" s="392">
        <f>SUM(C64:C69)</f>
        <v>0</v>
      </c>
      <c r="D70" s="392">
        <f>SUM(D64:D69)</f>
        <v>0</v>
      </c>
      <c r="E70" s="392">
        <f>'Sources and Uses Budget'!S70</f>
        <v>110000</v>
      </c>
      <c r="F70" s="398">
        <f>SUM(F65:F69)</f>
        <v>0</v>
      </c>
      <c r="G70" s="398">
        <f>SUM(G65:G69)</f>
        <v>0</v>
      </c>
      <c r="H70" s="392">
        <f>'Sources and Uses Budget'!T70</f>
        <v>0</v>
      </c>
      <c r="I70" s="398">
        <f>SUM(I65:I69)</f>
        <v>0</v>
      </c>
      <c r="J70" s="398">
        <f>SUM(J65:J69)</f>
        <v>0</v>
      </c>
      <c r="K70" s="390"/>
    </row>
    <row r="71" spans="1:11" s="391" customFormat="1">
      <c r="A71" s="388" t="s">
        <v>611</v>
      </c>
      <c r="B71" s="389"/>
      <c r="C71" s="389"/>
      <c r="D71" s="389"/>
      <c r="E71" s="389"/>
      <c r="F71" s="389"/>
      <c r="G71" s="389"/>
      <c r="H71" s="389"/>
      <c r="I71" s="389"/>
      <c r="J71" s="389"/>
      <c r="K71" s="390"/>
    </row>
    <row r="72" spans="1:11" s="391" customFormat="1">
      <c r="A72" s="395" t="s">
        <v>612</v>
      </c>
      <c r="B72" s="392">
        <f>'Sources and Uses Budget'!C72</f>
        <v>0</v>
      </c>
      <c r="C72" s="393"/>
      <c r="D72" s="393"/>
      <c r="E72" s="394"/>
      <c r="F72" s="394"/>
      <c r="G72" s="394"/>
      <c r="H72" s="394"/>
      <c r="I72" s="394"/>
      <c r="J72" s="394"/>
      <c r="K72" s="390"/>
    </row>
    <row r="73" spans="1:11" s="391" customFormat="1">
      <c r="A73" s="395" t="s">
        <v>613</v>
      </c>
      <c r="B73" s="392">
        <f>'Sources and Uses Budget'!C73</f>
        <v>0</v>
      </c>
      <c r="C73" s="393"/>
      <c r="D73" s="393"/>
      <c r="E73" s="394"/>
      <c r="F73" s="394"/>
      <c r="G73" s="394"/>
      <c r="H73" s="394"/>
      <c r="I73" s="394"/>
      <c r="J73" s="394"/>
      <c r="K73" s="390"/>
    </row>
    <row r="74" spans="1:11" s="391" customFormat="1">
      <c r="A74" s="397" t="s">
        <v>1008</v>
      </c>
      <c r="B74" s="392">
        <f>'Sources and Uses Budget'!C74</f>
        <v>0</v>
      </c>
      <c r="C74" s="393"/>
      <c r="D74" s="393"/>
      <c r="E74" s="394"/>
      <c r="F74" s="394"/>
      <c r="G74" s="394"/>
      <c r="H74" s="394"/>
      <c r="I74" s="394"/>
      <c r="J74" s="394"/>
      <c r="K74" s="390"/>
    </row>
    <row r="75" spans="1:11" s="391" customFormat="1">
      <c r="A75" s="395" t="s">
        <v>614</v>
      </c>
      <c r="B75" s="392">
        <f>'Sources and Uses Budget'!C75</f>
        <v>738000</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615</v>
      </c>
      <c r="B77" s="392">
        <f>'Sources and Uses Budget'!C77</f>
        <v>738000</v>
      </c>
      <c r="C77" s="392">
        <f>SUM(C72:C76)</f>
        <v>0</v>
      </c>
      <c r="D77" s="392">
        <f>SUM(D72:D76)</f>
        <v>0</v>
      </c>
      <c r="E77" s="394"/>
      <c r="F77" s="394"/>
      <c r="G77" s="394"/>
      <c r="H77" s="394"/>
      <c r="I77" s="394"/>
      <c r="J77" s="394"/>
      <c r="K77" s="390"/>
    </row>
    <row r="78" spans="1:11" s="391" customFormat="1">
      <c r="A78" s="388" t="s">
        <v>1317</v>
      </c>
      <c r="B78" s="389"/>
      <c r="C78" s="389"/>
      <c r="D78" s="389"/>
      <c r="E78" s="389"/>
      <c r="F78" s="389"/>
      <c r="G78" s="389"/>
      <c r="H78" s="389"/>
      <c r="I78" s="389"/>
      <c r="J78" s="389"/>
      <c r="K78" s="390"/>
    </row>
    <row r="79" spans="1:11" s="391" customFormat="1">
      <c r="A79" s="395" t="s">
        <v>1319</v>
      </c>
      <c r="B79" s="392">
        <f>'Sources and Uses Budget'!C79</f>
        <v>5175476</v>
      </c>
      <c r="C79" s="393"/>
      <c r="D79" s="393"/>
      <c r="E79" s="392">
        <f>'Sources and Uses Budget'!S79</f>
        <v>5175476</v>
      </c>
      <c r="F79" s="393"/>
      <c r="G79" s="393"/>
      <c r="H79" s="392">
        <f>'Sources and Uses Budget'!T79</f>
        <v>0</v>
      </c>
      <c r="I79" s="393"/>
      <c r="J79" s="393"/>
      <c r="K79" s="390"/>
    </row>
    <row r="80" spans="1:11" s="391" customFormat="1">
      <c r="A80" s="395" t="s">
        <v>58</v>
      </c>
      <c r="B80" s="392">
        <f>'Sources and Uses Budget'!C80</f>
        <v>813399</v>
      </c>
      <c r="C80" s="393"/>
      <c r="D80" s="393"/>
      <c r="E80" s="392">
        <f>'Sources and Uses Budget'!S80</f>
        <v>813399</v>
      </c>
      <c r="F80" s="393"/>
      <c r="G80" s="393"/>
      <c r="H80" s="392">
        <f>'Sources and Uses Budget'!T80</f>
        <v>0</v>
      </c>
      <c r="I80" s="393"/>
      <c r="J80" s="393"/>
      <c r="K80" s="390"/>
    </row>
    <row r="81" spans="1:11" s="391" customFormat="1">
      <c r="A81" s="396" t="s">
        <v>1316</v>
      </c>
      <c r="B81" s="392">
        <f>'Sources and Uses Budget'!C81</f>
        <v>5988875</v>
      </c>
      <c r="C81" s="392">
        <f>SUM(C79:C80)</f>
        <v>0</v>
      </c>
      <c r="D81" s="392">
        <f>SUM(D79:D80)</f>
        <v>0</v>
      </c>
      <c r="E81" s="392">
        <f>'Sources and Uses Budget'!S81</f>
        <v>5988875</v>
      </c>
      <c r="F81" s="392">
        <f>SUM(F79:F80)</f>
        <v>0</v>
      </c>
      <c r="G81" s="392">
        <f>SUM(G79:G80)</f>
        <v>0</v>
      </c>
      <c r="H81" s="392">
        <f>'Sources and Uses Budget'!T81</f>
        <v>0</v>
      </c>
      <c r="I81" s="392">
        <f>SUM(I79:I80)</f>
        <v>0</v>
      </c>
      <c r="J81" s="392">
        <f>SUM(J79:J80)</f>
        <v>0</v>
      </c>
      <c r="K81" s="390"/>
    </row>
    <row r="82" spans="1:11" s="391" customFormat="1">
      <c r="A82" s="388" t="s">
        <v>775</v>
      </c>
      <c r="B82" s="389"/>
      <c r="C82" s="389"/>
      <c r="D82" s="389"/>
      <c r="E82" s="389"/>
      <c r="F82" s="389"/>
      <c r="G82" s="389"/>
      <c r="H82" s="389"/>
      <c r="I82" s="389"/>
      <c r="J82" s="389"/>
      <c r="K82" s="390"/>
    </row>
    <row r="83" spans="1:11" s="391" customFormat="1" ht="13.7" customHeight="1">
      <c r="A83" s="145" t="s">
        <v>2411</v>
      </c>
      <c r="B83" s="392">
        <f>'Sources and Uses Budget'!C83</f>
        <v>254000</v>
      </c>
      <c r="C83" s="393"/>
      <c r="D83" s="393"/>
      <c r="E83" s="394"/>
      <c r="F83" s="394"/>
      <c r="G83" s="394"/>
      <c r="H83" s="394"/>
      <c r="I83" s="394"/>
      <c r="J83" s="394"/>
      <c r="K83" s="390"/>
    </row>
    <row r="84" spans="1:11" s="391" customFormat="1">
      <c r="A84" s="145" t="s">
        <v>777</v>
      </c>
      <c r="B84" s="392">
        <f>'Sources and Uses Budget'!C84</f>
        <v>50000</v>
      </c>
      <c r="C84" s="393"/>
      <c r="D84" s="393"/>
      <c r="E84" s="392">
        <f>'Sources and Uses Budget'!S84</f>
        <v>50000</v>
      </c>
      <c r="F84" s="393"/>
      <c r="G84" s="393"/>
      <c r="H84" s="392">
        <f>'Sources and Uses Budget'!T84</f>
        <v>0</v>
      </c>
      <c r="I84" s="393"/>
      <c r="J84" s="393"/>
      <c r="K84" s="390"/>
    </row>
    <row r="85" spans="1:11" s="391" customFormat="1">
      <c r="A85" s="145" t="s">
        <v>778</v>
      </c>
      <c r="B85" s="392">
        <f>'Sources and Uses Budget'!C85</f>
        <v>716489</v>
      </c>
      <c r="C85" s="393"/>
      <c r="D85" s="393"/>
      <c r="E85" s="392">
        <f>'Sources and Uses Budget'!S85</f>
        <v>716489</v>
      </c>
      <c r="F85" s="393"/>
      <c r="G85" s="393"/>
      <c r="H85" s="392">
        <f>'Sources and Uses Budget'!T85</f>
        <v>0</v>
      </c>
      <c r="I85" s="393"/>
      <c r="J85" s="393"/>
      <c r="K85" s="390"/>
    </row>
    <row r="86" spans="1:11" s="391" customFormat="1">
      <c r="A86" s="145" t="s">
        <v>779</v>
      </c>
      <c r="B86" s="392">
        <f>'Sources and Uses Budget'!C86</f>
        <v>363511</v>
      </c>
      <c r="C86" s="393"/>
      <c r="D86" s="393"/>
      <c r="E86" s="392">
        <f>'Sources and Uses Budget'!S86</f>
        <v>363511</v>
      </c>
      <c r="F86" s="393"/>
      <c r="G86" s="393"/>
      <c r="H86" s="392">
        <f>'Sources and Uses Budget'!T86</f>
        <v>0</v>
      </c>
      <c r="I86" s="393"/>
      <c r="J86" s="393"/>
      <c r="K86" s="390"/>
    </row>
    <row r="87" spans="1:11" s="391" customFormat="1">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781</v>
      </c>
      <c r="B88" s="392">
        <f>'Sources and Uses Budget'!C88</f>
        <v>30000</v>
      </c>
      <c r="C88" s="393"/>
      <c r="D88" s="393"/>
      <c r="E88" s="394"/>
      <c r="F88" s="394"/>
      <c r="G88" s="394"/>
      <c r="H88" s="394"/>
      <c r="I88" s="394"/>
      <c r="J88" s="394"/>
      <c r="K88" s="390"/>
    </row>
    <row r="89" spans="1:11" s="391" customFormat="1">
      <c r="A89" s="145" t="s">
        <v>782</v>
      </c>
      <c r="B89" s="392">
        <f>'Sources and Uses Budget'!C89</f>
        <v>475000</v>
      </c>
      <c r="C89" s="393"/>
      <c r="D89" s="393"/>
      <c r="E89" s="392">
        <f>'Sources and Uses Budget'!S89</f>
        <v>475000</v>
      </c>
      <c r="F89" s="393"/>
      <c r="G89" s="393"/>
      <c r="H89" s="392">
        <f>'Sources and Uses Budget'!T89</f>
        <v>0</v>
      </c>
      <c r="I89" s="393"/>
      <c r="J89" s="393"/>
      <c r="K89" s="390"/>
    </row>
    <row r="90" spans="1:11" s="391" customFormat="1">
      <c r="A90" s="145" t="s">
        <v>783</v>
      </c>
      <c r="B90" s="392">
        <f>'Sources and Uses Budget'!C90</f>
        <v>12000</v>
      </c>
      <c r="C90" s="393"/>
      <c r="D90" s="393"/>
      <c r="E90" s="392">
        <f>'Sources and Uses Budget'!S90</f>
        <v>12000</v>
      </c>
      <c r="F90" s="393"/>
      <c r="G90" s="393"/>
      <c r="H90" s="392">
        <f>'Sources and Uses Budget'!T90</f>
        <v>0</v>
      </c>
      <c r="I90" s="393"/>
      <c r="J90" s="393"/>
      <c r="K90" s="390"/>
    </row>
    <row r="91" spans="1:11" s="391" customFormat="1">
      <c r="A91" s="155" t="s">
        <v>373</v>
      </c>
      <c r="B91" s="392">
        <f>'Sources and Uses Budget'!C91</f>
        <v>60000</v>
      </c>
      <c r="C91" s="393"/>
      <c r="D91" s="393"/>
      <c r="E91" s="392">
        <f>'Sources and Uses Budget'!S91</f>
        <v>60000</v>
      </c>
      <c r="F91" s="393"/>
      <c r="G91" s="393"/>
      <c r="H91" s="392">
        <f>'Sources and Uses Budget'!T91</f>
        <v>0</v>
      </c>
      <c r="I91" s="393"/>
      <c r="J91" s="393"/>
      <c r="K91" s="390"/>
    </row>
    <row r="92" spans="1:11" s="391" customFormat="1">
      <c r="A92" s="542" t="s">
        <v>1318</v>
      </c>
      <c r="B92" s="392">
        <f>'Sources and Uses Budget'!C92</f>
        <v>10000</v>
      </c>
      <c r="C92" s="393"/>
      <c r="D92" s="393"/>
      <c r="E92" s="392">
        <f>'Sources and Uses Budget'!S92</f>
        <v>10000</v>
      </c>
      <c r="F92" s="393"/>
      <c r="G92" s="393"/>
      <c r="H92" s="392">
        <f>'Sources and Uses Budget'!T92</f>
        <v>0</v>
      </c>
      <c r="I92" s="393"/>
      <c r="J92" s="393"/>
      <c r="K92" s="390"/>
    </row>
    <row r="93" spans="1:11" s="391" customFormat="1">
      <c r="A93" s="395" t="str">
        <f>'Sources and Uses Budget'!$A93</f>
        <v>Other: MTS Agency Deposit</v>
      </c>
      <c r="B93" s="392">
        <f>'Sources and Uses Budget'!C93</f>
        <v>50000</v>
      </c>
      <c r="C93" s="393"/>
      <c r="D93" s="393"/>
      <c r="E93" s="392">
        <f>'Sources and Uses Budget'!S93</f>
        <v>50000</v>
      </c>
      <c r="F93" s="393"/>
      <c r="G93" s="393"/>
      <c r="H93" s="392">
        <f>'Sources and Uses Budget'!T93</f>
        <v>0</v>
      </c>
      <c r="I93" s="393"/>
      <c r="J93" s="393"/>
      <c r="K93" s="390"/>
    </row>
    <row r="94" spans="1:11" s="391" customFormat="1">
      <c r="A94" s="395" t="str">
        <f>'Sources and Uses Budget'!$A94</f>
        <v>Other: Lease up costs</v>
      </c>
      <c r="B94" s="392">
        <f>'Sources and Uses Budget'!C94</f>
        <v>75000</v>
      </c>
      <c r="C94" s="393"/>
      <c r="D94" s="393"/>
      <c r="E94" s="392">
        <f>'Sources and Uses Budget'!S94</f>
        <v>0</v>
      </c>
      <c r="F94" s="393"/>
      <c r="G94" s="393"/>
      <c r="H94" s="392">
        <f>'Sources and Uses Budget'!T94</f>
        <v>0</v>
      </c>
      <c r="I94" s="393"/>
      <c r="J94" s="393"/>
      <c r="K94" s="390"/>
    </row>
    <row r="95" spans="1:11" s="391" customFormat="1">
      <c r="A95" s="395" t="str">
        <f>'Sources and Uses Budget'!$A95</f>
        <v>Other: Initial monitoring fee</v>
      </c>
      <c r="B95" s="392">
        <f>'Sources and Uses Budget'!C95</f>
        <v>4000</v>
      </c>
      <c r="C95" s="393"/>
      <c r="D95" s="393"/>
      <c r="E95" s="392">
        <f>'Sources and Uses Budget'!S95</f>
        <v>0</v>
      </c>
      <c r="F95" s="393"/>
      <c r="G95" s="393"/>
      <c r="H95" s="392">
        <f>'Sources and Uses Budget'!T95</f>
        <v>0</v>
      </c>
      <c r="I95" s="393"/>
      <c r="J95" s="393"/>
      <c r="K95" s="390"/>
    </row>
    <row r="96" spans="1:11" s="391" customFormat="1">
      <c r="A96" s="396" t="s">
        <v>784</v>
      </c>
      <c r="B96" s="392">
        <f>'Sources and Uses Budget'!C96</f>
        <v>2100000</v>
      </c>
      <c r="C96" s="392">
        <f>SUM(C83:C95)</f>
        <v>0</v>
      </c>
      <c r="D96" s="392">
        <f>SUM(D83:D95)</f>
        <v>0</v>
      </c>
      <c r="E96" s="392">
        <f>'Sources and Uses Budget'!S96</f>
        <v>1737000</v>
      </c>
      <c r="F96" s="398">
        <f>SUM(F84:F87,F89:F95)</f>
        <v>0</v>
      </c>
      <c r="G96" s="398">
        <f>SUM(G84:G87,G89:G95)</f>
        <v>0</v>
      </c>
      <c r="H96" s="392">
        <f>'Sources and Uses Budget'!T96</f>
        <v>0</v>
      </c>
      <c r="I96" s="392">
        <f>SUM(I84:I87,I89:I95)</f>
        <v>0</v>
      </c>
      <c r="J96" s="392">
        <f>SUM(J84:J87,J89:J95)</f>
        <v>0</v>
      </c>
      <c r="K96" s="390"/>
    </row>
    <row r="97" spans="1:11" s="391" customFormat="1">
      <c r="A97" s="396" t="s">
        <v>1054</v>
      </c>
      <c r="B97" s="392">
        <f>'Sources and Uses Budget'!C97</f>
        <v>97047249</v>
      </c>
      <c r="C97" s="392">
        <f>SUM(C63+C70+C77+C81+C96)</f>
        <v>0</v>
      </c>
      <c r="D97" s="392">
        <f>SUM(D63+D70+D77+D81+D96)</f>
        <v>0</v>
      </c>
      <c r="E97" s="392">
        <f>'Sources and Uses Budget'!S97</f>
        <v>91781248</v>
      </c>
      <c r="F97" s="398">
        <f>SUM(+F63+F70+F81+F96)</f>
        <v>0</v>
      </c>
      <c r="G97" s="398">
        <f>SUM(+G63+G70+G81+G96)</f>
        <v>0</v>
      </c>
      <c r="H97" s="392">
        <f>'Sources and Uses Budget'!T97</f>
        <v>0</v>
      </c>
      <c r="I97" s="398">
        <f>SUM(I63+I70+I81+I96)</f>
        <v>0</v>
      </c>
      <c r="J97" s="398">
        <f>SUM(J63+J70+J81+J96)</f>
        <v>0</v>
      </c>
      <c r="K97" s="390"/>
    </row>
    <row r="98" spans="1:11" s="391" customFormat="1">
      <c r="A98" s="388" t="s">
        <v>786</v>
      </c>
      <c r="B98" s="389"/>
      <c r="C98" s="389"/>
      <c r="D98" s="389"/>
      <c r="E98" s="389"/>
      <c r="F98" s="389"/>
      <c r="G98" s="389"/>
      <c r="H98" s="389"/>
      <c r="I98" s="389"/>
      <c r="J98" s="389"/>
      <c r="K98" s="390"/>
    </row>
    <row r="99" spans="1:11" s="391" customFormat="1">
      <c r="A99" s="145" t="s">
        <v>787</v>
      </c>
      <c r="B99" s="392">
        <f>'Sources and Uses Budget'!C99</f>
        <v>11498079</v>
      </c>
      <c r="C99" s="393"/>
      <c r="D99" s="393"/>
      <c r="E99" s="392">
        <f>'Sources and Uses Budget'!S99</f>
        <v>11498079</v>
      </c>
      <c r="F99" s="393"/>
      <c r="G99" s="393"/>
      <c r="H99" s="392">
        <f>'Sources and Uses Budget'!T99</f>
        <v>0</v>
      </c>
      <c r="I99" s="393"/>
      <c r="J99" s="393"/>
      <c r="K99" s="390"/>
    </row>
    <row r="100" spans="1:11" s="391" customFormat="1">
      <c r="A100" s="304" t="s">
        <v>1759</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1760</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11498079</v>
      </c>
      <c r="C104" s="392">
        <f>SUM(C99:C103)</f>
        <v>0</v>
      </c>
      <c r="D104" s="392">
        <f>SUM(D99:D103)</f>
        <v>0</v>
      </c>
      <c r="E104" s="392">
        <f>'Sources and Uses Budget'!S104</f>
        <v>11498079</v>
      </c>
      <c r="F104" s="398">
        <f>SUM(F99:F103)</f>
        <v>0</v>
      </c>
      <c r="G104" s="398">
        <f>SUM(G99:G103)</f>
        <v>0</v>
      </c>
      <c r="H104" s="392">
        <f>'Sources and Uses Budget'!T104</f>
        <v>0</v>
      </c>
      <c r="I104" s="398">
        <f>SUM(I99:I103)</f>
        <v>0</v>
      </c>
      <c r="J104" s="398">
        <f>SUM(J99:J103)</f>
        <v>0</v>
      </c>
      <c r="K104" s="390"/>
    </row>
    <row r="105" spans="1:11" s="391" customFormat="1">
      <c r="A105" s="396" t="s">
        <v>1055</v>
      </c>
      <c r="B105" s="392">
        <f>'Sources and Uses Budget'!C105</f>
        <v>108545328</v>
      </c>
      <c r="C105" s="398">
        <f>SUM(C97+C104)</f>
        <v>0</v>
      </c>
      <c r="D105" s="398">
        <f>SUM(D97+D104)</f>
        <v>0</v>
      </c>
      <c r="E105" s="392">
        <f>'Sources and Uses Budget'!S105</f>
        <v>103279327</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103279327</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93"/>
      <c r="E124" s="1350"/>
      <c r="F124" s="1350"/>
      <c r="G124" s="1350"/>
      <c r="H124" s="1350"/>
      <c r="I124" s="1350"/>
      <c r="J124" s="407"/>
      <c r="K124" s="390"/>
    </row>
    <row r="125" spans="1:11" s="391" customFormat="1" ht="12.75">
      <c r="A125" s="416"/>
      <c r="B125" s="415"/>
      <c r="C125" s="416"/>
      <c r="D125" s="1350"/>
      <c r="E125" s="1350"/>
      <c r="F125" s="1350"/>
      <c r="G125" s="1350"/>
      <c r="H125" s="1350"/>
      <c r="I125" s="1350"/>
      <c r="J125" s="407"/>
      <c r="K125" s="390"/>
    </row>
    <row r="126" spans="1:11" s="391" customFormat="1" ht="12.75">
      <c r="A126" s="416"/>
      <c r="B126" s="415"/>
      <c r="C126" s="416"/>
      <c r="D126" s="1350"/>
      <c r="E126" s="1350"/>
      <c r="F126" s="1350"/>
      <c r="G126" s="1350"/>
      <c r="H126" s="1350"/>
      <c r="I126" s="1350"/>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94"/>
      <c r="B139" s="1350"/>
      <c r="C139" s="1350"/>
      <c r="D139" s="387"/>
      <c r="E139" s="416"/>
      <c r="F139" s="416"/>
      <c r="G139" s="416"/>
    </row>
    <row r="140" spans="1:11" ht="12" customHeight="1">
      <c r="A140" s="1287"/>
      <c r="B140" s="1287"/>
      <c r="C140" s="1287"/>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workbookViewId="0">
      <selection activeCell="AB249" sqref="AB249:AG249"/>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127" t="s">
        <v>1411</v>
      </c>
      <c r="B1" s="2127"/>
      <c r="C1" s="2127"/>
      <c r="D1" s="2127"/>
      <c r="E1" s="2127"/>
      <c r="F1" s="2127"/>
      <c r="G1" s="2127"/>
      <c r="H1" s="2127"/>
      <c r="I1" s="2127"/>
      <c r="J1" s="2127"/>
      <c r="K1" s="2127"/>
      <c r="L1" s="2127"/>
      <c r="M1" s="2127"/>
      <c r="N1" s="2127"/>
      <c r="O1" s="2127"/>
      <c r="P1" s="2127"/>
      <c r="Q1" s="2127"/>
      <c r="R1" s="2127"/>
      <c r="S1" s="2127"/>
      <c r="T1" s="2127"/>
      <c r="U1" s="2127"/>
      <c r="V1" s="2127"/>
      <c r="W1" s="2127"/>
      <c r="X1" s="2127"/>
      <c r="Y1" s="2127"/>
      <c r="Z1" s="2127"/>
      <c r="AA1" s="2127"/>
      <c r="AB1" s="2127"/>
      <c r="AC1" s="2127"/>
      <c r="AD1" s="2127"/>
      <c r="AE1" s="2127"/>
      <c r="AF1" s="2127"/>
      <c r="AG1" s="2127"/>
      <c r="AH1" s="2127"/>
      <c r="AI1" s="2127"/>
      <c r="AJ1" s="2127"/>
      <c r="AK1" s="2127"/>
      <c r="AL1" s="2127"/>
      <c r="AM1" s="2127"/>
    </row>
    <row r="2" spans="1:42" s="570" customFormat="1" ht="12.75" customHeight="1" thickBot="1">
      <c r="A2" s="2128"/>
      <c r="B2" s="2128"/>
      <c r="C2" s="2128"/>
      <c r="D2" s="2128"/>
      <c r="E2" s="2128"/>
      <c r="F2" s="2128"/>
      <c r="G2" s="2128"/>
      <c r="H2" s="2128"/>
      <c r="I2" s="2128"/>
      <c r="J2" s="2128"/>
      <c r="K2" s="2128"/>
      <c r="L2" s="2128"/>
      <c r="M2" s="2128"/>
      <c r="N2" s="2128"/>
      <c r="O2" s="2128"/>
      <c r="P2" s="2128"/>
      <c r="Q2" s="2128"/>
      <c r="R2" s="2128"/>
      <c r="S2" s="2128"/>
      <c r="T2" s="2128"/>
      <c r="U2" s="2128"/>
      <c r="V2" s="2128"/>
      <c r="W2" s="2128"/>
      <c r="X2" s="2128"/>
      <c r="Y2" s="2128"/>
      <c r="Z2" s="2128"/>
      <c r="AA2" s="2128"/>
      <c r="AB2" s="2128"/>
      <c r="AC2" s="2128"/>
      <c r="AD2" s="2128"/>
      <c r="AE2" s="2128"/>
      <c r="AF2" s="2128"/>
      <c r="AG2" s="2128"/>
      <c r="AH2" s="2128"/>
      <c r="AI2" s="2128"/>
      <c r="AJ2" s="2128"/>
      <c r="AK2" s="2128"/>
      <c r="AL2" s="2128"/>
      <c r="AM2" s="2128"/>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1412</v>
      </c>
      <c r="B4" s="573" t="s">
        <v>1413</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1414</v>
      </c>
      <c r="B7" s="573" t="s">
        <v>1415</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38" t="s">
        <v>1416</v>
      </c>
      <c r="AF7" s="1938"/>
      <c r="AG7" s="1938"/>
      <c r="AH7" s="1938"/>
      <c r="AI7" s="1938"/>
      <c r="AJ7" s="1938"/>
      <c r="AK7" s="1938"/>
      <c r="AL7" s="574"/>
      <c r="AM7" s="574"/>
      <c r="AN7" s="569"/>
    </row>
    <row r="8" spans="1:42" s="570" customFormat="1" ht="12.75" customHeight="1">
      <c r="A8" s="572"/>
      <c r="B8" s="573" t="s">
        <v>1919</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2324</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2318</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21" t="s">
        <v>600</v>
      </c>
      <c r="C13" s="2121"/>
      <c r="D13" s="581"/>
      <c r="E13" s="582" t="s">
        <v>1417</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29"/>
      <c r="AH13" s="2129"/>
      <c r="AI13" s="2129"/>
      <c r="AJ13" s="2130"/>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21" t="s">
        <v>600</v>
      </c>
      <c r="C16" s="2121"/>
      <c r="D16" s="581"/>
      <c r="E16" s="2113" t="s">
        <v>1418</v>
      </c>
      <c r="F16" s="2114"/>
      <c r="G16" s="2114"/>
      <c r="H16" s="2114"/>
      <c r="I16" s="2114"/>
      <c r="J16" s="2114"/>
      <c r="K16" s="2114"/>
      <c r="L16" s="2114"/>
      <c r="M16" s="2114"/>
      <c r="N16" s="2114"/>
      <c r="O16" s="2114"/>
      <c r="P16" s="2114"/>
      <c r="Q16" s="2114"/>
      <c r="R16" s="2114"/>
      <c r="S16" s="2114"/>
      <c r="T16" s="2114"/>
      <c r="U16" s="2114"/>
      <c r="V16" s="2114"/>
      <c r="W16" s="2114"/>
      <c r="X16" s="2114"/>
      <c r="Y16" s="2114"/>
      <c r="Z16" s="2114"/>
      <c r="AA16" s="2114"/>
      <c r="AB16" s="2114"/>
      <c r="AC16" s="2114"/>
      <c r="AD16" s="2114"/>
      <c r="AE16" s="2114"/>
      <c r="AF16" s="2114"/>
      <c r="AG16" s="2114"/>
      <c r="AH16" s="2114"/>
      <c r="AI16" s="2114"/>
      <c r="AJ16" s="2115"/>
      <c r="AK16" s="574"/>
      <c r="AL16" s="574"/>
      <c r="AM16" s="574"/>
      <c r="AN16" s="569"/>
      <c r="AO16" s="584">
        <f>IF($B25="yes",20,0)</f>
        <v>0</v>
      </c>
      <c r="AP16" s="14"/>
    </row>
    <row r="17" spans="1:42" s="570" customFormat="1" ht="12.75" customHeight="1">
      <c r="A17" s="574"/>
      <c r="B17" s="574"/>
      <c r="C17" s="574"/>
      <c r="D17" s="585"/>
      <c r="E17" s="2116"/>
      <c r="F17" s="2117"/>
      <c r="G17" s="2117"/>
      <c r="H17" s="2117"/>
      <c r="I17" s="2117"/>
      <c r="J17" s="2117"/>
      <c r="K17" s="2117"/>
      <c r="L17" s="2117"/>
      <c r="M17" s="2117"/>
      <c r="N17" s="2117"/>
      <c r="O17" s="2117"/>
      <c r="P17" s="2117"/>
      <c r="Q17" s="2117"/>
      <c r="R17" s="2117"/>
      <c r="S17" s="2117"/>
      <c r="T17" s="2117"/>
      <c r="U17" s="2117"/>
      <c r="V17" s="2117"/>
      <c r="W17" s="2117"/>
      <c r="X17" s="2117"/>
      <c r="Y17" s="2117"/>
      <c r="Z17" s="2117"/>
      <c r="AA17" s="2117"/>
      <c r="AB17" s="2117"/>
      <c r="AC17" s="2117"/>
      <c r="AD17" s="2117"/>
      <c r="AE17" s="2117"/>
      <c r="AF17" s="2117"/>
      <c r="AG17" s="2117"/>
      <c r="AH17" s="2117"/>
      <c r="AI17" s="2117"/>
      <c r="AJ17" s="2118"/>
      <c r="AK17" s="574"/>
      <c r="AL17" s="574"/>
      <c r="AM17" s="574"/>
      <c r="AN17" s="569"/>
      <c r="AO17" s="570">
        <f>IF(SUM(AO13:AO16)&gt;20,20,(SUM(AO13:AO16)))</f>
        <v>0</v>
      </c>
      <c r="AP17" s="570" t="s">
        <v>1419</v>
      </c>
    </row>
    <row r="18" spans="1:42" s="570" customFormat="1" ht="12.75" customHeight="1">
      <c r="A18" s="574"/>
      <c r="B18" s="574"/>
      <c r="C18" s="574"/>
      <c r="D18" s="585"/>
      <c r="E18" s="2116"/>
      <c r="F18" s="2117"/>
      <c r="G18" s="2117"/>
      <c r="H18" s="2117"/>
      <c r="I18" s="2117"/>
      <c r="J18" s="2117"/>
      <c r="K18" s="2117"/>
      <c r="L18" s="2117"/>
      <c r="M18" s="2117"/>
      <c r="N18" s="2117"/>
      <c r="O18" s="2117"/>
      <c r="P18" s="2117"/>
      <c r="Q18" s="2117"/>
      <c r="R18" s="2117"/>
      <c r="S18" s="2117"/>
      <c r="T18" s="2117"/>
      <c r="U18" s="2117"/>
      <c r="V18" s="2117"/>
      <c r="W18" s="2117"/>
      <c r="X18" s="2117"/>
      <c r="Y18" s="2117"/>
      <c r="Z18" s="2117"/>
      <c r="AA18" s="2117"/>
      <c r="AB18" s="2117"/>
      <c r="AC18" s="2117"/>
      <c r="AD18" s="2117"/>
      <c r="AE18" s="2117"/>
      <c r="AF18" s="2117"/>
      <c r="AG18" s="2117"/>
      <c r="AH18" s="2117"/>
      <c r="AI18" s="2117"/>
      <c r="AJ18" s="2118"/>
      <c r="AK18" s="574"/>
      <c r="AL18" s="574"/>
      <c r="AM18" s="574"/>
      <c r="AN18" s="569"/>
    </row>
    <row r="19" spans="1:42" s="570" customFormat="1" ht="12.75" customHeight="1">
      <c r="A19" s="574"/>
      <c r="B19" s="574"/>
      <c r="C19" s="574"/>
      <c r="D19" s="585"/>
      <c r="E19" s="586" t="s">
        <v>1420</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37"/>
      <c r="F20" s="2138"/>
      <c r="G20" s="2138"/>
      <c r="H20" s="2138"/>
      <c r="I20" s="2138"/>
      <c r="J20" s="2138"/>
      <c r="K20" s="2138"/>
      <c r="L20" s="2138"/>
      <c r="M20" s="2138"/>
      <c r="N20" s="2138"/>
      <c r="O20" s="2138"/>
      <c r="P20" s="2138"/>
      <c r="Q20" s="2138"/>
      <c r="R20" s="2138"/>
      <c r="S20" s="2138"/>
      <c r="T20" s="2138"/>
      <c r="U20" s="2138"/>
      <c r="V20" s="2138"/>
      <c r="W20" s="2138"/>
      <c r="X20" s="2138"/>
      <c r="Y20" s="2138"/>
      <c r="Z20" s="2138"/>
      <c r="AA20" s="2138"/>
      <c r="AB20" s="2138"/>
      <c r="AC20" s="2138"/>
      <c r="AD20" s="2138"/>
      <c r="AE20" s="2138"/>
      <c r="AF20" s="2138"/>
      <c r="AG20" s="2138"/>
      <c r="AH20" s="2138"/>
      <c r="AI20" s="2138"/>
      <c r="AJ20" s="2139"/>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21" t="s">
        <v>600</v>
      </c>
      <c r="C22" s="2121"/>
      <c r="D22" s="581"/>
      <c r="E22" s="2131" t="s">
        <v>1421</v>
      </c>
      <c r="F22" s="2132"/>
      <c r="G22" s="2132"/>
      <c r="H22" s="2132"/>
      <c r="I22" s="2132"/>
      <c r="J22" s="2132"/>
      <c r="K22" s="2132"/>
      <c r="L22" s="2132"/>
      <c r="M22" s="2132"/>
      <c r="N22" s="2132"/>
      <c r="O22" s="2132"/>
      <c r="P22" s="2132"/>
      <c r="Q22" s="2132"/>
      <c r="R22" s="2132"/>
      <c r="S22" s="2132"/>
      <c r="T22" s="2132"/>
      <c r="U22" s="2132"/>
      <c r="V22" s="2132"/>
      <c r="W22" s="2132"/>
      <c r="X22" s="2132"/>
      <c r="Y22" s="2132"/>
      <c r="Z22" s="2132"/>
      <c r="AA22" s="2132"/>
      <c r="AB22" s="2132"/>
      <c r="AC22" s="2132"/>
      <c r="AD22" s="2132"/>
      <c r="AE22" s="2132"/>
      <c r="AF22" s="2132"/>
      <c r="AG22" s="2132"/>
      <c r="AH22" s="2132"/>
      <c r="AI22" s="2132"/>
      <c r="AJ22" s="2133"/>
      <c r="AK22" s="574"/>
      <c r="AL22" s="574"/>
      <c r="AM22" s="574"/>
      <c r="AN22" s="569"/>
      <c r="AO22" s="570">
        <f>IF(SUM(AO20:AO21)&gt;14,14,SUM(AO20:AO21))</f>
        <v>0</v>
      </c>
      <c r="AP22" s="570" t="s">
        <v>1419</v>
      </c>
    </row>
    <row r="23" spans="1:42" s="570" customFormat="1" ht="12.75" customHeight="1">
      <c r="A23" s="574"/>
      <c r="B23" s="574"/>
      <c r="C23" s="574"/>
      <c r="D23" s="584"/>
      <c r="E23" s="2134"/>
      <c r="F23" s="2135"/>
      <c r="G23" s="2135"/>
      <c r="H23" s="2135"/>
      <c r="I23" s="2135"/>
      <c r="J23" s="2135"/>
      <c r="K23" s="2135"/>
      <c r="L23" s="2135"/>
      <c r="M23" s="2135"/>
      <c r="N23" s="2135"/>
      <c r="O23" s="2135"/>
      <c r="P23" s="2135"/>
      <c r="Q23" s="2135"/>
      <c r="R23" s="2135"/>
      <c r="S23" s="2135"/>
      <c r="T23" s="2135"/>
      <c r="U23" s="2135"/>
      <c r="V23" s="2135"/>
      <c r="W23" s="2135"/>
      <c r="X23" s="2135"/>
      <c r="Y23" s="2135"/>
      <c r="Z23" s="2135"/>
      <c r="AA23" s="2135"/>
      <c r="AB23" s="2135"/>
      <c r="AC23" s="2135"/>
      <c r="AD23" s="2135"/>
      <c r="AE23" s="2135"/>
      <c r="AF23" s="2135"/>
      <c r="AG23" s="2135"/>
      <c r="AH23" s="2135"/>
      <c r="AI23" s="2135"/>
      <c r="AJ23" s="2136"/>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21" t="s">
        <v>600</v>
      </c>
      <c r="C25" s="2121"/>
      <c r="D25" s="581"/>
      <c r="E25" s="2048" t="s">
        <v>2348</v>
      </c>
      <c r="F25" s="2049"/>
      <c r="G25" s="2049"/>
      <c r="H25" s="2049"/>
      <c r="I25" s="2049"/>
      <c r="J25" s="2049"/>
      <c r="K25" s="2049"/>
      <c r="L25" s="2049"/>
      <c r="M25" s="2049"/>
      <c r="N25" s="2049"/>
      <c r="O25" s="2049"/>
      <c r="P25" s="2049"/>
      <c r="Q25" s="2049"/>
      <c r="R25" s="2049"/>
      <c r="S25" s="2049"/>
      <c r="T25" s="2049"/>
      <c r="U25" s="2049"/>
      <c r="V25" s="2049"/>
      <c r="W25" s="2049"/>
      <c r="X25" s="2049"/>
      <c r="Y25" s="2049"/>
      <c r="Z25" s="2049"/>
      <c r="AA25" s="2049"/>
      <c r="AB25" s="2049"/>
      <c r="AC25" s="2049"/>
      <c r="AD25" s="2049"/>
      <c r="AE25" s="2049"/>
      <c r="AF25" s="2049"/>
      <c r="AG25" s="2049"/>
      <c r="AH25" s="2049"/>
      <c r="AI25" s="2049"/>
      <c r="AJ25" s="2050"/>
      <c r="AK25" s="574"/>
      <c r="AL25" s="574"/>
      <c r="AM25" s="574"/>
      <c r="AN25" s="569"/>
      <c r="AO25" s="570">
        <f>IF(AO24&gt;6,6,AO24)</f>
        <v>0</v>
      </c>
      <c r="AP25" s="570" t="s">
        <v>1419</v>
      </c>
    </row>
    <row r="26" spans="1:42" s="570" customFormat="1" ht="12.75" customHeight="1">
      <c r="A26" s="574"/>
      <c r="B26" s="574"/>
      <c r="C26" s="574"/>
      <c r="D26" s="584"/>
      <c r="E26" s="2073"/>
      <c r="F26" s="2074"/>
      <c r="G26" s="2074"/>
      <c r="H26" s="2074"/>
      <c r="I26" s="2074"/>
      <c r="J26" s="2074"/>
      <c r="K26" s="2074"/>
      <c r="L26" s="2074"/>
      <c r="M26" s="2074"/>
      <c r="N26" s="2074"/>
      <c r="O26" s="2074"/>
      <c r="P26" s="2074"/>
      <c r="Q26" s="2074"/>
      <c r="R26" s="2074"/>
      <c r="S26" s="2074"/>
      <c r="T26" s="2074"/>
      <c r="U26" s="2074"/>
      <c r="V26" s="2074"/>
      <c r="W26" s="2074"/>
      <c r="X26" s="2074"/>
      <c r="Y26" s="2074"/>
      <c r="Z26" s="2074"/>
      <c r="AA26" s="2074"/>
      <c r="AB26" s="2074"/>
      <c r="AC26" s="2074"/>
      <c r="AD26" s="2074"/>
      <c r="AE26" s="2074"/>
      <c r="AF26" s="2074"/>
      <c r="AG26" s="2074"/>
      <c r="AH26" s="2074"/>
      <c r="AI26" s="2074"/>
      <c r="AJ26" s="2075"/>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2319</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1419</v>
      </c>
    </row>
    <row r="30" spans="1:42" s="570" customFormat="1" ht="12.75" customHeight="1">
      <c r="A30" s="574"/>
      <c r="B30" s="2121" t="s">
        <v>600</v>
      </c>
      <c r="C30" s="2121"/>
      <c r="D30" s="581"/>
      <c r="E30" s="2131" t="s">
        <v>2320</v>
      </c>
      <c r="F30" s="2132"/>
      <c r="G30" s="2132"/>
      <c r="H30" s="2132"/>
      <c r="I30" s="2132"/>
      <c r="J30" s="2132"/>
      <c r="K30" s="2132"/>
      <c r="L30" s="2132"/>
      <c r="M30" s="2132"/>
      <c r="N30" s="2132"/>
      <c r="O30" s="2132"/>
      <c r="P30" s="2132"/>
      <c r="Q30" s="2132"/>
      <c r="R30" s="2132"/>
      <c r="S30" s="2132"/>
      <c r="T30" s="2132"/>
      <c r="U30" s="2132"/>
      <c r="V30" s="2132"/>
      <c r="W30" s="2132"/>
      <c r="X30" s="2132"/>
      <c r="Y30" s="2132"/>
      <c r="Z30" s="2132"/>
      <c r="AA30" s="2132"/>
      <c r="AB30" s="2132"/>
      <c r="AC30" s="2132"/>
      <c r="AD30" s="2132"/>
      <c r="AE30" s="2132"/>
      <c r="AF30" s="2132"/>
      <c r="AG30" s="2132"/>
      <c r="AH30" s="2132"/>
      <c r="AI30" s="2132"/>
      <c r="AJ30" s="2133"/>
      <c r="AK30" s="574"/>
      <c r="AL30" s="574"/>
      <c r="AM30" s="574"/>
      <c r="AN30" s="569"/>
      <c r="AO30" s="584"/>
    </row>
    <row r="31" spans="1:42" s="570" customFormat="1" ht="12.75" customHeight="1">
      <c r="A31" s="574"/>
      <c r="B31" s="574"/>
      <c r="C31" s="574"/>
      <c r="E31" s="2134"/>
      <c r="F31" s="2135"/>
      <c r="G31" s="2135"/>
      <c r="H31" s="2135"/>
      <c r="I31" s="2135"/>
      <c r="J31" s="2135"/>
      <c r="K31" s="2135"/>
      <c r="L31" s="2135"/>
      <c r="M31" s="2135"/>
      <c r="N31" s="2135"/>
      <c r="O31" s="2135"/>
      <c r="P31" s="2135"/>
      <c r="Q31" s="2135"/>
      <c r="R31" s="2135"/>
      <c r="S31" s="2135"/>
      <c r="T31" s="2135"/>
      <c r="U31" s="2135"/>
      <c r="V31" s="2135"/>
      <c r="W31" s="2135"/>
      <c r="X31" s="2135"/>
      <c r="Y31" s="2135"/>
      <c r="Z31" s="2135"/>
      <c r="AA31" s="2135"/>
      <c r="AB31" s="2135"/>
      <c r="AC31" s="2135"/>
      <c r="AD31" s="2135"/>
      <c r="AE31" s="2135"/>
      <c r="AF31" s="2135"/>
      <c r="AG31" s="2135"/>
      <c r="AH31" s="2135"/>
      <c r="AI31" s="2135"/>
      <c r="AJ31" s="2136"/>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21" t="s">
        <v>600</v>
      </c>
      <c r="C33" s="2121"/>
      <c r="D33" s="581"/>
      <c r="E33" s="2048" t="s">
        <v>2321</v>
      </c>
      <c r="F33" s="2049"/>
      <c r="G33" s="2049"/>
      <c r="H33" s="2049"/>
      <c r="I33" s="2049"/>
      <c r="J33" s="2049"/>
      <c r="K33" s="2049"/>
      <c r="L33" s="2049"/>
      <c r="M33" s="2049"/>
      <c r="N33" s="2049"/>
      <c r="O33" s="2049"/>
      <c r="P33" s="2049"/>
      <c r="Q33" s="2049"/>
      <c r="R33" s="2049"/>
      <c r="S33" s="2049"/>
      <c r="T33" s="2049"/>
      <c r="U33" s="2049"/>
      <c r="V33" s="2049"/>
      <c r="W33" s="2049"/>
      <c r="X33" s="2049"/>
      <c r="Y33" s="2049"/>
      <c r="Z33" s="2049"/>
      <c r="AA33" s="2049"/>
      <c r="AB33" s="2049"/>
      <c r="AC33" s="2049"/>
      <c r="AD33" s="2049"/>
      <c r="AE33" s="2049"/>
      <c r="AF33" s="2049"/>
      <c r="AG33" s="2049"/>
      <c r="AH33" s="2049"/>
      <c r="AI33" s="2049"/>
      <c r="AJ33" s="2050"/>
      <c r="AK33" s="574"/>
      <c r="AL33" s="574"/>
      <c r="AM33" s="574"/>
      <c r="AN33" s="569"/>
    </row>
    <row r="34" spans="1:41" s="570" customFormat="1" ht="12.75" customHeight="1">
      <c r="A34" s="574"/>
      <c r="B34" s="574"/>
      <c r="C34" s="574"/>
      <c r="E34" s="2051"/>
      <c r="F34" s="2052"/>
      <c r="G34" s="2052"/>
      <c r="H34" s="2052"/>
      <c r="I34" s="2052"/>
      <c r="J34" s="2052"/>
      <c r="K34" s="2052"/>
      <c r="L34" s="2052"/>
      <c r="M34" s="2052"/>
      <c r="N34" s="2052"/>
      <c r="O34" s="2052"/>
      <c r="P34" s="2052"/>
      <c r="Q34" s="2052"/>
      <c r="R34" s="2052"/>
      <c r="S34" s="2052"/>
      <c r="T34" s="2052"/>
      <c r="U34" s="2052"/>
      <c r="V34" s="2052"/>
      <c r="W34" s="2052"/>
      <c r="X34" s="2052"/>
      <c r="Y34" s="2052"/>
      <c r="Z34" s="2052"/>
      <c r="AA34" s="2052"/>
      <c r="AB34" s="2052"/>
      <c r="AC34" s="2052"/>
      <c r="AD34" s="2052"/>
      <c r="AE34" s="2052"/>
      <c r="AF34" s="2052"/>
      <c r="AG34" s="2052"/>
      <c r="AH34" s="2052"/>
      <c r="AI34" s="2052"/>
      <c r="AJ34" s="2053"/>
      <c r="AK34" s="574"/>
      <c r="AL34" s="574"/>
      <c r="AM34" s="574"/>
      <c r="AN34" s="569"/>
    </row>
    <row r="35" spans="1:41" s="570" customFormat="1" ht="12.75" customHeight="1">
      <c r="A35" s="574"/>
      <c r="B35" s="574"/>
      <c r="C35" s="574"/>
      <c r="E35" s="2073"/>
      <c r="F35" s="2074"/>
      <c r="G35" s="2074"/>
      <c r="H35" s="2074"/>
      <c r="I35" s="2074"/>
      <c r="J35" s="2074"/>
      <c r="K35" s="2074"/>
      <c r="L35" s="2074"/>
      <c r="M35" s="2074"/>
      <c r="N35" s="2074"/>
      <c r="O35" s="2074"/>
      <c r="P35" s="2074"/>
      <c r="Q35" s="2074"/>
      <c r="R35" s="2074"/>
      <c r="S35" s="2074"/>
      <c r="T35" s="2074"/>
      <c r="U35" s="2074"/>
      <c r="V35" s="2074"/>
      <c r="W35" s="2074"/>
      <c r="X35" s="2074"/>
      <c r="Y35" s="2074"/>
      <c r="Z35" s="2074"/>
      <c r="AA35" s="2074"/>
      <c r="AB35" s="2074"/>
      <c r="AC35" s="2074"/>
      <c r="AD35" s="2074"/>
      <c r="AE35" s="2074"/>
      <c r="AF35" s="2074"/>
      <c r="AG35" s="2074"/>
      <c r="AH35" s="2074"/>
      <c r="AI35" s="2074"/>
      <c r="AJ35" s="2075"/>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2323</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21" t="s">
        <v>600</v>
      </c>
      <c r="C39" s="2121"/>
      <c r="D39" s="1186"/>
      <c r="E39" s="2048" t="s">
        <v>2322</v>
      </c>
      <c r="F39" s="2049"/>
      <c r="G39" s="2049"/>
      <c r="H39" s="2049"/>
      <c r="I39" s="2049"/>
      <c r="J39" s="2049"/>
      <c r="K39" s="2049"/>
      <c r="L39" s="2049"/>
      <c r="M39" s="2049"/>
      <c r="N39" s="2049"/>
      <c r="O39" s="2049"/>
      <c r="P39" s="2049"/>
      <c r="Q39" s="2049"/>
      <c r="R39" s="2049"/>
      <c r="S39" s="2049"/>
      <c r="T39" s="2049"/>
      <c r="U39" s="2049"/>
      <c r="V39" s="2049"/>
      <c r="W39" s="2049"/>
      <c r="X39" s="2049"/>
      <c r="Y39" s="2049"/>
      <c r="Z39" s="2049"/>
      <c r="AA39" s="2049"/>
      <c r="AB39" s="2049"/>
      <c r="AC39" s="2049"/>
      <c r="AD39" s="2049"/>
      <c r="AE39" s="2049"/>
      <c r="AF39" s="2049"/>
      <c r="AG39" s="2049"/>
      <c r="AH39" s="2049"/>
      <c r="AI39" s="2049"/>
      <c r="AJ39" s="2050"/>
      <c r="AK39" s="1186"/>
      <c r="AL39" s="574"/>
      <c r="AM39" s="574"/>
      <c r="AN39" s="569"/>
    </row>
    <row r="40" spans="1:41" s="570" customFormat="1" ht="12.75" customHeight="1">
      <c r="A40" s="574"/>
      <c r="B40" s="574"/>
      <c r="C40" s="574"/>
      <c r="E40" s="2051"/>
      <c r="F40" s="2052"/>
      <c r="G40" s="2052"/>
      <c r="H40" s="2052"/>
      <c r="I40" s="2052"/>
      <c r="J40" s="2052"/>
      <c r="K40" s="2052"/>
      <c r="L40" s="2052"/>
      <c r="M40" s="2052"/>
      <c r="N40" s="2052"/>
      <c r="O40" s="2052"/>
      <c r="P40" s="2052"/>
      <c r="Q40" s="2052"/>
      <c r="R40" s="2052"/>
      <c r="S40" s="2052"/>
      <c r="T40" s="2052"/>
      <c r="U40" s="2052"/>
      <c r="V40" s="2052"/>
      <c r="W40" s="2052"/>
      <c r="X40" s="2052"/>
      <c r="Y40" s="2052"/>
      <c r="Z40" s="2052"/>
      <c r="AA40" s="2052"/>
      <c r="AB40" s="2052"/>
      <c r="AC40" s="2052"/>
      <c r="AD40" s="2052"/>
      <c r="AE40" s="2052"/>
      <c r="AF40" s="2052"/>
      <c r="AG40" s="2052"/>
      <c r="AH40" s="2052"/>
      <c r="AI40" s="2052"/>
      <c r="AJ40" s="2053"/>
      <c r="AK40" s="574"/>
      <c r="AL40" s="574"/>
      <c r="AM40" s="574"/>
      <c r="AN40" s="569"/>
    </row>
    <row r="41" spans="1:41" s="570" customFormat="1" ht="12.75" customHeight="1">
      <c r="A41" s="574"/>
      <c r="D41" s="581"/>
      <c r="E41" s="2073"/>
      <c r="F41" s="2074"/>
      <c r="G41" s="2074"/>
      <c r="H41" s="2074"/>
      <c r="I41" s="2074"/>
      <c r="J41" s="2074"/>
      <c r="K41" s="2074"/>
      <c r="L41" s="2074"/>
      <c r="M41" s="2074"/>
      <c r="N41" s="2074"/>
      <c r="O41" s="2074"/>
      <c r="P41" s="2074"/>
      <c r="Q41" s="2074"/>
      <c r="R41" s="2074"/>
      <c r="S41" s="2074"/>
      <c r="T41" s="2074"/>
      <c r="U41" s="2074"/>
      <c r="V41" s="2074"/>
      <c r="W41" s="2074"/>
      <c r="X41" s="2074"/>
      <c r="Y41" s="2074"/>
      <c r="Z41" s="2074"/>
      <c r="AA41" s="2074"/>
      <c r="AB41" s="2074"/>
      <c r="AC41" s="2074"/>
      <c r="AD41" s="2074"/>
      <c r="AE41" s="2074"/>
      <c r="AF41" s="2074"/>
      <c r="AG41" s="2074"/>
      <c r="AH41" s="2074"/>
      <c r="AI41" s="2074"/>
      <c r="AJ41" s="2075"/>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2325</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2326</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21" t="s">
        <v>600</v>
      </c>
      <c r="C46" s="2121"/>
      <c r="D46" s="574"/>
      <c r="E46" s="2048" t="s">
        <v>2327</v>
      </c>
      <c r="F46" s="2049"/>
      <c r="G46" s="2049"/>
      <c r="H46" s="2049"/>
      <c r="I46" s="2049"/>
      <c r="J46" s="2049"/>
      <c r="K46" s="2049"/>
      <c r="L46" s="2049"/>
      <c r="M46" s="2049"/>
      <c r="N46" s="2049"/>
      <c r="O46" s="2049"/>
      <c r="P46" s="2049"/>
      <c r="Q46" s="2049"/>
      <c r="R46" s="2049"/>
      <c r="S46" s="2049"/>
      <c r="T46" s="2049"/>
      <c r="U46" s="2049"/>
      <c r="V46" s="2049"/>
      <c r="W46" s="2049"/>
      <c r="X46" s="2049"/>
      <c r="Y46" s="2049"/>
      <c r="Z46" s="2049"/>
      <c r="AA46" s="2049"/>
      <c r="AB46" s="2049"/>
      <c r="AC46" s="2049"/>
      <c r="AD46" s="2049"/>
      <c r="AE46" s="2049"/>
      <c r="AF46" s="2049"/>
      <c r="AG46" s="2049"/>
      <c r="AH46" s="2049"/>
      <c r="AI46" s="2049"/>
      <c r="AJ46" s="2050"/>
      <c r="AK46" s="574"/>
      <c r="AL46" s="574"/>
      <c r="AM46" s="574"/>
      <c r="AN46" s="569"/>
      <c r="AO46" s="593"/>
    </row>
    <row r="47" spans="1:41" s="570" customFormat="1" ht="12.75" customHeight="1">
      <c r="A47" s="574"/>
      <c r="D47" s="581"/>
      <c r="E47" s="2051"/>
      <c r="F47" s="2052"/>
      <c r="G47" s="2052"/>
      <c r="H47" s="2052"/>
      <c r="I47" s="2052"/>
      <c r="J47" s="2052"/>
      <c r="K47" s="2052"/>
      <c r="L47" s="2052"/>
      <c r="M47" s="2052"/>
      <c r="N47" s="2052"/>
      <c r="O47" s="2052"/>
      <c r="P47" s="2052"/>
      <c r="Q47" s="2052"/>
      <c r="R47" s="2052"/>
      <c r="S47" s="2052"/>
      <c r="T47" s="2052"/>
      <c r="U47" s="2052"/>
      <c r="V47" s="2052"/>
      <c r="W47" s="2052"/>
      <c r="X47" s="2052"/>
      <c r="Y47" s="2052"/>
      <c r="Z47" s="2052"/>
      <c r="AA47" s="2052"/>
      <c r="AB47" s="2052"/>
      <c r="AC47" s="2052"/>
      <c r="AD47" s="2052"/>
      <c r="AE47" s="2052"/>
      <c r="AF47" s="2052"/>
      <c r="AG47" s="2052"/>
      <c r="AH47" s="2052"/>
      <c r="AI47" s="2052"/>
      <c r="AJ47" s="2053"/>
      <c r="AK47" s="574"/>
      <c r="AL47" s="574"/>
      <c r="AM47" s="574"/>
      <c r="AN47" s="569"/>
      <c r="AO47" s="593"/>
    </row>
    <row r="48" spans="1:41" s="570" customFormat="1" ht="12.75" customHeight="1">
      <c r="A48" s="574"/>
      <c r="D48" s="574"/>
      <c r="E48" s="2073"/>
      <c r="F48" s="2074"/>
      <c r="G48" s="2074"/>
      <c r="H48" s="2074"/>
      <c r="I48" s="2074"/>
      <c r="J48" s="2074"/>
      <c r="K48" s="2074"/>
      <c r="L48" s="2074"/>
      <c r="M48" s="2074"/>
      <c r="N48" s="2074"/>
      <c r="O48" s="2074"/>
      <c r="P48" s="2074"/>
      <c r="Q48" s="2074"/>
      <c r="R48" s="2074"/>
      <c r="S48" s="2074"/>
      <c r="T48" s="2074"/>
      <c r="U48" s="2074"/>
      <c r="V48" s="2074"/>
      <c r="W48" s="2074"/>
      <c r="X48" s="2074"/>
      <c r="Y48" s="2074"/>
      <c r="Z48" s="2074"/>
      <c r="AA48" s="2074"/>
      <c r="AB48" s="2074"/>
      <c r="AC48" s="2074"/>
      <c r="AD48" s="2074"/>
      <c r="AE48" s="2074"/>
      <c r="AF48" s="2074"/>
      <c r="AG48" s="2074"/>
      <c r="AH48" s="2074"/>
      <c r="AI48" s="2074"/>
      <c r="AJ48" s="2075"/>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21" t="s">
        <v>600</v>
      </c>
      <c r="C50" s="2121"/>
      <c r="D50" s="574"/>
      <c r="E50" s="2147" t="s">
        <v>2328</v>
      </c>
      <c r="F50" s="2148"/>
      <c r="G50" s="2148"/>
      <c r="H50" s="2148"/>
      <c r="I50" s="2148"/>
      <c r="J50" s="2148"/>
      <c r="K50" s="2148"/>
      <c r="L50" s="2148"/>
      <c r="M50" s="2148"/>
      <c r="N50" s="2148"/>
      <c r="O50" s="2148"/>
      <c r="P50" s="2148"/>
      <c r="Q50" s="2148"/>
      <c r="R50" s="2148"/>
      <c r="S50" s="2148"/>
      <c r="T50" s="2148"/>
      <c r="U50" s="2148"/>
      <c r="V50" s="2148"/>
      <c r="W50" s="2148"/>
      <c r="X50" s="2148"/>
      <c r="Y50" s="2148"/>
      <c r="Z50" s="2148"/>
      <c r="AA50" s="2148"/>
      <c r="AB50" s="2148"/>
      <c r="AC50" s="2148"/>
      <c r="AD50" s="2148"/>
      <c r="AE50" s="2148"/>
      <c r="AF50" s="2148"/>
      <c r="AG50" s="2148"/>
      <c r="AH50" s="2148"/>
      <c r="AI50" s="2148"/>
      <c r="AJ50" s="2149"/>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21" t="s">
        <v>600</v>
      </c>
      <c r="C52" s="2121"/>
      <c r="D52" s="574"/>
      <c r="E52" s="2048" t="s">
        <v>2329</v>
      </c>
      <c r="F52" s="2049"/>
      <c r="G52" s="2049"/>
      <c r="H52" s="2049"/>
      <c r="I52" s="2049"/>
      <c r="J52" s="2049"/>
      <c r="K52" s="2049"/>
      <c r="L52" s="2049"/>
      <c r="M52" s="2049"/>
      <c r="N52" s="2049"/>
      <c r="O52" s="2049"/>
      <c r="P52" s="2049"/>
      <c r="Q52" s="2049"/>
      <c r="R52" s="2049"/>
      <c r="S52" s="2049"/>
      <c r="T52" s="2049"/>
      <c r="U52" s="2049"/>
      <c r="V52" s="2049"/>
      <c r="W52" s="2049"/>
      <c r="X52" s="2049"/>
      <c r="Y52" s="2049"/>
      <c r="Z52" s="2049"/>
      <c r="AA52" s="2049"/>
      <c r="AB52" s="2049"/>
      <c r="AC52" s="2049"/>
      <c r="AD52" s="2049"/>
      <c r="AE52" s="2049"/>
      <c r="AF52" s="2049"/>
      <c r="AG52" s="2049"/>
      <c r="AH52" s="2049"/>
      <c r="AI52" s="2049"/>
      <c r="AJ52" s="2050"/>
      <c r="AK52" s="574"/>
      <c r="AL52" s="574"/>
      <c r="AM52" s="574"/>
      <c r="AN52" s="569"/>
    </row>
    <row r="53" spans="1:50" s="570" customFormat="1" ht="12.75" customHeight="1">
      <c r="A53" s="574"/>
      <c r="B53" s="581"/>
      <c r="C53" s="581"/>
      <c r="D53" s="581"/>
      <c r="E53" s="2073"/>
      <c r="F53" s="2074"/>
      <c r="G53" s="2074"/>
      <c r="H53" s="2074"/>
      <c r="I53" s="2074"/>
      <c r="J53" s="2074"/>
      <c r="K53" s="2074"/>
      <c r="L53" s="2074"/>
      <c r="M53" s="2074"/>
      <c r="N53" s="2074"/>
      <c r="O53" s="2074"/>
      <c r="P53" s="2074"/>
      <c r="Q53" s="2074"/>
      <c r="R53" s="2074"/>
      <c r="S53" s="2074"/>
      <c r="T53" s="2074"/>
      <c r="U53" s="2074"/>
      <c r="V53" s="2074"/>
      <c r="W53" s="2074"/>
      <c r="X53" s="2074"/>
      <c r="Y53" s="2074"/>
      <c r="Z53" s="2074"/>
      <c r="AA53" s="2074"/>
      <c r="AB53" s="2074"/>
      <c r="AC53" s="2074"/>
      <c r="AD53" s="2074"/>
      <c r="AE53" s="2074"/>
      <c r="AF53" s="2074"/>
      <c r="AG53" s="2074"/>
      <c r="AH53" s="2074"/>
      <c r="AI53" s="2074"/>
      <c r="AJ53" s="2075"/>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1422</v>
      </c>
      <c r="AK56" s="2094">
        <f>AO36</f>
        <v>0</v>
      </c>
      <c r="AL56" s="2095"/>
      <c r="AM56" s="2096"/>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1423</v>
      </c>
      <c r="B59" s="573" t="s">
        <v>1424</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38" t="s">
        <v>1425</v>
      </c>
      <c r="AF59" s="1938"/>
      <c r="AG59" s="1938"/>
      <c r="AH59" s="1938"/>
      <c r="AI59" s="1938"/>
      <c r="AJ59" s="1938"/>
      <c r="AK59" s="1938"/>
      <c r="AL59" s="574"/>
      <c r="AM59" s="574"/>
      <c r="AN59" s="569"/>
    </row>
    <row r="60" spans="1:50" s="570" customFormat="1" ht="12.75" customHeight="1">
      <c r="A60" s="572"/>
      <c r="B60" s="573" t="s">
        <v>1918</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21" t="s">
        <v>554</v>
      </c>
      <c r="C62" s="2121"/>
      <c r="D62" s="581" t="s">
        <v>1426</v>
      </c>
      <c r="E62" s="2113" t="s">
        <v>2330</v>
      </c>
      <c r="F62" s="2114"/>
      <c r="G62" s="2114"/>
      <c r="H62" s="2114"/>
      <c r="I62" s="2114"/>
      <c r="J62" s="2114"/>
      <c r="K62" s="2114"/>
      <c r="L62" s="2114"/>
      <c r="M62" s="2114"/>
      <c r="N62" s="2114"/>
      <c r="O62" s="2114"/>
      <c r="P62" s="2114"/>
      <c r="Q62" s="2114"/>
      <c r="R62" s="2114"/>
      <c r="S62" s="2114"/>
      <c r="T62" s="2114"/>
      <c r="U62" s="2114"/>
      <c r="V62" s="2114"/>
      <c r="W62" s="2114"/>
      <c r="X62" s="2114"/>
      <c r="Y62" s="2114"/>
      <c r="Z62" s="2114"/>
      <c r="AA62" s="2114"/>
      <c r="AB62" s="2114"/>
      <c r="AC62" s="2114"/>
      <c r="AD62" s="2114"/>
      <c r="AE62" s="2114"/>
      <c r="AF62" s="2114"/>
      <c r="AG62" s="2114"/>
      <c r="AH62" s="2114"/>
      <c r="AI62" s="2114"/>
      <c r="AJ62" s="2115"/>
      <c r="AK62" s="577"/>
      <c r="AL62" s="574"/>
      <c r="AM62" s="574"/>
      <c r="AN62" s="569"/>
      <c r="AO62" s="584">
        <f>IF($B62="yes",10,0)</f>
        <v>10</v>
      </c>
    </row>
    <row r="63" spans="1:50" s="570" customFormat="1" ht="12.75" customHeight="1">
      <c r="A63" s="572"/>
      <c r="B63" s="574"/>
      <c r="C63" s="574"/>
      <c r="D63" s="585"/>
      <c r="E63" s="2116"/>
      <c r="F63" s="2117"/>
      <c r="G63" s="2117"/>
      <c r="H63" s="2117"/>
      <c r="I63" s="2117"/>
      <c r="J63" s="2117"/>
      <c r="K63" s="2117"/>
      <c r="L63" s="2117"/>
      <c r="M63" s="2117"/>
      <c r="N63" s="2117"/>
      <c r="O63" s="2117"/>
      <c r="P63" s="2117"/>
      <c r="Q63" s="2117"/>
      <c r="R63" s="2117"/>
      <c r="S63" s="2117"/>
      <c r="T63" s="2117"/>
      <c r="U63" s="2117"/>
      <c r="V63" s="2117"/>
      <c r="W63" s="2117"/>
      <c r="X63" s="2117"/>
      <c r="Y63" s="2117"/>
      <c r="Z63" s="2117"/>
      <c r="AA63" s="2117"/>
      <c r="AB63" s="2117"/>
      <c r="AC63" s="2117"/>
      <c r="AD63" s="2117"/>
      <c r="AE63" s="2117"/>
      <c r="AF63" s="2117"/>
      <c r="AG63" s="2117"/>
      <c r="AH63" s="2117"/>
      <c r="AI63" s="2117"/>
      <c r="AJ63" s="2118"/>
      <c r="AK63" s="577"/>
      <c r="AL63" s="574"/>
      <c r="AM63" s="574"/>
      <c r="AN63" s="569"/>
      <c r="AO63" s="584">
        <f>IF($B68="yes",10,0)</f>
        <v>0</v>
      </c>
    </row>
    <row r="64" spans="1:50" s="570" customFormat="1" ht="12.75" customHeight="1">
      <c r="A64" s="572"/>
      <c r="B64" s="574"/>
      <c r="C64" s="574"/>
      <c r="D64" s="585"/>
      <c r="E64" s="2116"/>
      <c r="F64" s="2117"/>
      <c r="G64" s="2117"/>
      <c r="H64" s="2117"/>
      <c r="I64" s="2117"/>
      <c r="J64" s="2117"/>
      <c r="K64" s="2117"/>
      <c r="L64" s="2117"/>
      <c r="M64" s="2117"/>
      <c r="N64" s="2117"/>
      <c r="O64" s="2117"/>
      <c r="P64" s="2117"/>
      <c r="Q64" s="2117"/>
      <c r="R64" s="2117"/>
      <c r="S64" s="2117"/>
      <c r="T64" s="2117"/>
      <c r="U64" s="2117"/>
      <c r="V64" s="2117"/>
      <c r="W64" s="2117"/>
      <c r="X64" s="2117"/>
      <c r="Y64" s="2117"/>
      <c r="Z64" s="2117"/>
      <c r="AA64" s="2117"/>
      <c r="AB64" s="2117"/>
      <c r="AC64" s="2117"/>
      <c r="AD64" s="2117"/>
      <c r="AE64" s="2117"/>
      <c r="AF64" s="2117"/>
      <c r="AG64" s="2117"/>
      <c r="AH64" s="2117"/>
      <c r="AI64" s="2117"/>
      <c r="AJ64" s="2118"/>
      <c r="AK64" s="577"/>
      <c r="AL64" s="574"/>
      <c r="AM64" s="574"/>
      <c r="AN64" s="569"/>
      <c r="AO64" s="584">
        <f>IF($B75="yes",10,0)</f>
        <v>0</v>
      </c>
    </row>
    <row r="65" spans="1:42" s="570" customFormat="1" ht="12.75" customHeight="1">
      <c r="A65" s="572"/>
      <c r="B65" s="574"/>
      <c r="C65" s="574"/>
      <c r="D65" s="585"/>
      <c r="E65" s="2116"/>
      <c r="F65" s="2117"/>
      <c r="G65" s="2117"/>
      <c r="H65" s="2117"/>
      <c r="I65" s="2117"/>
      <c r="J65" s="2117"/>
      <c r="K65" s="2117"/>
      <c r="L65" s="2117"/>
      <c r="M65" s="2117"/>
      <c r="N65" s="2117"/>
      <c r="O65" s="2117"/>
      <c r="P65" s="2117"/>
      <c r="Q65" s="2117"/>
      <c r="R65" s="2117"/>
      <c r="S65" s="2117"/>
      <c r="T65" s="2117"/>
      <c r="U65" s="2117"/>
      <c r="V65" s="2117"/>
      <c r="W65" s="2117"/>
      <c r="X65" s="2117"/>
      <c r="Y65" s="2117"/>
      <c r="Z65" s="2117"/>
      <c r="AA65" s="2117"/>
      <c r="AB65" s="2117"/>
      <c r="AC65" s="2117"/>
      <c r="AD65" s="2117"/>
      <c r="AE65" s="2117"/>
      <c r="AF65" s="2117"/>
      <c r="AG65" s="2117"/>
      <c r="AH65" s="2117"/>
      <c r="AI65" s="2117"/>
      <c r="AJ65" s="2118"/>
      <c r="AK65" s="577"/>
      <c r="AL65" s="574"/>
      <c r="AM65" s="574"/>
      <c r="AN65" s="569"/>
      <c r="AO65" s="570">
        <f>IF(SUM(AO62:AO64)&gt;10,10,(SUM(AO62:AO64)))</f>
        <v>10</v>
      </c>
      <c r="AP65" s="608" t="s">
        <v>1427</v>
      </c>
    </row>
    <row r="66" spans="1:42" s="570" customFormat="1" ht="12.75" customHeight="1">
      <c r="A66" s="572"/>
      <c r="B66" s="574"/>
      <c r="C66" s="574"/>
      <c r="D66" s="585"/>
      <c r="E66" s="2143"/>
      <c r="F66" s="2144"/>
      <c r="G66" s="2144"/>
      <c r="H66" s="2144"/>
      <c r="I66" s="2144"/>
      <c r="J66" s="2144"/>
      <c r="K66" s="2144"/>
      <c r="L66" s="2144"/>
      <c r="M66" s="2144"/>
      <c r="N66" s="2144"/>
      <c r="O66" s="2144"/>
      <c r="P66" s="2144"/>
      <c r="Q66" s="2144"/>
      <c r="R66" s="2144"/>
      <c r="S66" s="2144"/>
      <c r="T66" s="2144"/>
      <c r="U66" s="2144"/>
      <c r="V66" s="2144"/>
      <c r="W66" s="2144"/>
      <c r="X66" s="2144"/>
      <c r="Y66" s="2144"/>
      <c r="Z66" s="2144"/>
      <c r="AA66" s="2144"/>
      <c r="AB66" s="2144"/>
      <c r="AC66" s="2144"/>
      <c r="AD66" s="2144"/>
      <c r="AE66" s="2144"/>
      <c r="AF66" s="2144"/>
      <c r="AG66" s="2144"/>
      <c r="AH66" s="2144"/>
      <c r="AI66" s="2144"/>
      <c r="AJ66" s="2145"/>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21" t="s">
        <v>600</v>
      </c>
      <c r="C68" s="2121"/>
      <c r="D68" s="581" t="s">
        <v>1428</v>
      </c>
      <c r="E68" s="1006" t="s">
        <v>1914</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46" t="s">
        <v>600</v>
      </c>
      <c r="F69" s="2121"/>
      <c r="G69" s="609"/>
      <c r="H69" s="592" t="s">
        <v>1429</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41" t="s">
        <v>600</v>
      </c>
      <c r="F70" s="2142"/>
      <c r="G70" s="609"/>
      <c r="H70" s="592" t="s">
        <v>1430</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41" t="s">
        <v>600</v>
      </c>
      <c r="F71" s="2142"/>
      <c r="G71" s="609"/>
      <c r="H71" s="592" t="s">
        <v>1929</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46" t="s">
        <v>600</v>
      </c>
      <c r="F73" s="2121"/>
      <c r="G73" s="941"/>
      <c r="H73" s="1011" t="s">
        <v>1928</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21" t="s">
        <v>600</v>
      </c>
      <c r="C75" s="2121"/>
      <c r="D75" s="581" t="s">
        <v>1431</v>
      </c>
      <c r="E75" s="2048" t="s">
        <v>1930</v>
      </c>
      <c r="F75" s="2049"/>
      <c r="G75" s="2049"/>
      <c r="H75" s="2049"/>
      <c r="I75" s="2049"/>
      <c r="J75" s="2049"/>
      <c r="K75" s="2049"/>
      <c r="L75" s="2049"/>
      <c r="M75" s="2049"/>
      <c r="N75" s="2049"/>
      <c r="O75" s="2049"/>
      <c r="P75" s="2049"/>
      <c r="Q75" s="2049"/>
      <c r="R75" s="2049"/>
      <c r="S75" s="2049"/>
      <c r="T75" s="2049"/>
      <c r="U75" s="2049"/>
      <c r="V75" s="2049"/>
      <c r="W75" s="2049"/>
      <c r="X75" s="2049"/>
      <c r="Y75" s="2049"/>
      <c r="Z75" s="2049"/>
      <c r="AA75" s="2049"/>
      <c r="AB75" s="2049"/>
      <c r="AC75" s="2049"/>
      <c r="AD75" s="2049"/>
      <c r="AE75" s="2049"/>
      <c r="AF75" s="2049"/>
      <c r="AG75" s="2049"/>
      <c r="AH75" s="2049"/>
      <c r="AI75" s="2049"/>
      <c r="AJ75" s="2050"/>
      <c r="AK75" s="577"/>
      <c r="AL75" s="574"/>
      <c r="AM75" s="574"/>
      <c r="AN75" s="569"/>
    </row>
    <row r="76" spans="1:42" s="570" customFormat="1" ht="12.75" customHeight="1">
      <c r="A76" s="572"/>
      <c r="B76" s="574"/>
      <c r="C76" s="574"/>
      <c r="D76" s="584"/>
      <c r="E76" s="2073"/>
      <c r="F76" s="2074"/>
      <c r="G76" s="2074"/>
      <c r="H76" s="2074"/>
      <c r="I76" s="2074"/>
      <c r="J76" s="2074"/>
      <c r="K76" s="2074"/>
      <c r="L76" s="2074"/>
      <c r="M76" s="2074"/>
      <c r="N76" s="2074"/>
      <c r="O76" s="2074"/>
      <c r="P76" s="2074"/>
      <c r="Q76" s="2074"/>
      <c r="R76" s="2074"/>
      <c r="S76" s="2074"/>
      <c r="T76" s="2074"/>
      <c r="U76" s="2074"/>
      <c r="V76" s="2074"/>
      <c r="W76" s="2074"/>
      <c r="X76" s="2074"/>
      <c r="Y76" s="2074"/>
      <c r="Z76" s="2074"/>
      <c r="AA76" s="2074"/>
      <c r="AB76" s="2074"/>
      <c r="AC76" s="2074"/>
      <c r="AD76" s="2074"/>
      <c r="AE76" s="2074"/>
      <c r="AF76" s="2074"/>
      <c r="AG76" s="2074"/>
      <c r="AH76" s="2074"/>
      <c r="AI76" s="2074"/>
      <c r="AJ76" s="2075"/>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1432</v>
      </c>
      <c r="AK78" s="2094">
        <f>IF(AK56&gt;0,0,AO65)</f>
        <v>10</v>
      </c>
      <c r="AL78" s="2095"/>
      <c r="AM78" s="2096"/>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1433</v>
      </c>
      <c r="B81" s="573" t="s">
        <v>1434</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38" t="s">
        <v>1416</v>
      </c>
      <c r="AF81" s="1938"/>
      <c r="AG81" s="1938"/>
      <c r="AH81" s="1938"/>
      <c r="AI81" s="1938"/>
      <c r="AJ81" s="1938"/>
      <c r="AK81" s="1938"/>
      <c r="AL81" s="574"/>
      <c r="AM81" s="574"/>
      <c r="AN81" s="569"/>
    </row>
    <row r="82" spans="1:43" s="570" customFormat="1" ht="12.75" customHeight="1">
      <c r="A82" s="572"/>
      <c r="B82" s="573" t="s">
        <v>1435</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21" t="s">
        <v>600</v>
      </c>
      <c r="C84" s="2121"/>
      <c r="D84" s="581" t="s">
        <v>1426</v>
      </c>
      <c r="E84" s="2113" t="s">
        <v>1436</v>
      </c>
      <c r="F84" s="2114"/>
      <c r="G84" s="2114"/>
      <c r="H84" s="2114"/>
      <c r="I84" s="2114"/>
      <c r="J84" s="2114"/>
      <c r="K84" s="2114"/>
      <c r="L84" s="2114"/>
      <c r="M84" s="2114"/>
      <c r="N84" s="2114"/>
      <c r="O84" s="2114"/>
      <c r="P84" s="2114"/>
      <c r="Q84" s="2114"/>
      <c r="R84" s="2114"/>
      <c r="S84" s="2114"/>
      <c r="T84" s="2114"/>
      <c r="U84" s="2114"/>
      <c r="V84" s="2114"/>
      <c r="W84" s="2114"/>
      <c r="X84" s="2114"/>
      <c r="Y84" s="2114"/>
      <c r="Z84" s="2114"/>
      <c r="AA84" s="2114"/>
      <c r="AB84" s="2114"/>
      <c r="AC84" s="2114"/>
      <c r="AD84" s="2114"/>
      <c r="AE84" s="2114"/>
      <c r="AF84" s="2114"/>
      <c r="AG84" s="2114"/>
      <c r="AH84" s="2114"/>
      <c r="AI84" s="2114"/>
      <c r="AJ84" s="2115"/>
      <c r="AK84" s="577"/>
      <c r="AL84" s="574"/>
      <c r="AM84" s="574"/>
      <c r="AN84" s="569"/>
    </row>
    <row r="85" spans="1:43" s="570" customFormat="1" ht="12.75" customHeight="1">
      <c r="A85" s="572"/>
      <c r="B85" s="573"/>
      <c r="C85" s="573"/>
      <c r="D85" s="573"/>
      <c r="E85" s="2116"/>
      <c r="F85" s="2117"/>
      <c r="G85" s="2117"/>
      <c r="H85" s="2117"/>
      <c r="I85" s="2117"/>
      <c r="J85" s="2117"/>
      <c r="K85" s="2117"/>
      <c r="L85" s="2117"/>
      <c r="M85" s="2117"/>
      <c r="N85" s="2117"/>
      <c r="O85" s="2117"/>
      <c r="P85" s="2117"/>
      <c r="Q85" s="2117"/>
      <c r="R85" s="2117"/>
      <c r="S85" s="2117"/>
      <c r="T85" s="2117"/>
      <c r="U85" s="2117"/>
      <c r="V85" s="2117"/>
      <c r="W85" s="2117"/>
      <c r="X85" s="2117"/>
      <c r="Y85" s="2117"/>
      <c r="Z85" s="2117"/>
      <c r="AA85" s="2117"/>
      <c r="AB85" s="2117"/>
      <c r="AC85" s="2117"/>
      <c r="AD85" s="2117"/>
      <c r="AE85" s="2117"/>
      <c r="AF85" s="2117"/>
      <c r="AG85" s="2117"/>
      <c r="AH85" s="2117"/>
      <c r="AI85" s="2117"/>
      <c r="AJ85" s="2118"/>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109">
        <f>Application!AC753</f>
        <v>0.5</v>
      </c>
      <c r="F87" s="2110"/>
      <c r="G87" s="2110"/>
      <c r="H87" s="2110"/>
      <c r="I87" s="611"/>
      <c r="J87" s="614" t="s">
        <v>1437</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40">
        <f>0.6-ROUNDUP(E87,2)</f>
        <v>9.9999999999999978E-2</v>
      </c>
      <c r="F88" s="1912"/>
      <c r="G88" s="1912"/>
      <c r="H88" s="1912"/>
      <c r="I88" s="611"/>
      <c r="J88" s="614" t="s">
        <v>1438</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25">
        <f>IF(E88*200&gt;20,20,E88*200)</f>
        <v>19.999999999999996</v>
      </c>
      <c r="F89" s="2126"/>
      <c r="G89" s="2126"/>
      <c r="H89" s="2126"/>
      <c r="I89" s="611"/>
      <c r="J89" s="614" t="s">
        <v>1439</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1419</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21" t="s">
        <v>554</v>
      </c>
      <c r="C92" s="2121"/>
      <c r="D92" s="581" t="s">
        <v>1428</v>
      </c>
      <c r="E92" s="2113" t="s">
        <v>1915</v>
      </c>
      <c r="F92" s="2114"/>
      <c r="G92" s="2114"/>
      <c r="H92" s="2114"/>
      <c r="I92" s="2114"/>
      <c r="J92" s="2114"/>
      <c r="K92" s="2114"/>
      <c r="L92" s="2114"/>
      <c r="M92" s="2114"/>
      <c r="N92" s="2114"/>
      <c r="O92" s="2114"/>
      <c r="P92" s="2114"/>
      <c r="Q92" s="2114"/>
      <c r="R92" s="2114"/>
      <c r="S92" s="2114"/>
      <c r="T92" s="2114"/>
      <c r="U92" s="2114"/>
      <c r="V92" s="2114"/>
      <c r="W92" s="2114"/>
      <c r="X92" s="2114"/>
      <c r="Y92" s="2114"/>
      <c r="Z92" s="2114"/>
      <c r="AA92" s="2114"/>
      <c r="AB92" s="2114"/>
      <c r="AC92" s="2114"/>
      <c r="AD92" s="2114"/>
      <c r="AE92" s="2114"/>
      <c r="AF92" s="2114"/>
      <c r="AG92" s="2114"/>
      <c r="AH92" s="2114"/>
      <c r="AI92" s="2114"/>
      <c r="AJ92" s="2115"/>
      <c r="AK92" s="577"/>
      <c r="AL92" s="574"/>
      <c r="AM92" s="574"/>
      <c r="AN92" s="569"/>
    </row>
    <row r="93" spans="1:43" s="570" customFormat="1" ht="12.75" customHeight="1">
      <c r="A93" s="572"/>
      <c r="B93" s="573"/>
      <c r="C93" s="573"/>
      <c r="D93" s="573"/>
      <c r="E93" s="2116"/>
      <c r="F93" s="2117"/>
      <c r="G93" s="2117"/>
      <c r="H93" s="2117"/>
      <c r="I93" s="2117"/>
      <c r="J93" s="2117"/>
      <c r="K93" s="2117"/>
      <c r="L93" s="2117"/>
      <c r="M93" s="2117"/>
      <c r="N93" s="2117"/>
      <c r="O93" s="2117"/>
      <c r="P93" s="2117"/>
      <c r="Q93" s="2117"/>
      <c r="R93" s="2117"/>
      <c r="S93" s="2117"/>
      <c r="T93" s="2117"/>
      <c r="U93" s="2117"/>
      <c r="V93" s="2117"/>
      <c r="W93" s="2117"/>
      <c r="X93" s="2117"/>
      <c r="Y93" s="2117"/>
      <c r="Z93" s="2117"/>
      <c r="AA93" s="2117"/>
      <c r="AB93" s="2117"/>
      <c r="AC93" s="2117"/>
      <c r="AD93" s="2117"/>
      <c r="AE93" s="2117"/>
      <c r="AF93" s="2117"/>
      <c r="AG93" s="2117"/>
      <c r="AH93" s="2117"/>
      <c r="AI93" s="2117"/>
      <c r="AJ93" s="2118"/>
      <c r="AK93" s="577"/>
      <c r="AL93" s="574"/>
      <c r="AM93" s="574"/>
      <c r="AN93" s="569"/>
    </row>
    <row r="94" spans="1:43" s="570" customFormat="1" ht="12.75" customHeight="1">
      <c r="A94" s="572"/>
      <c r="B94" s="573"/>
      <c r="C94" s="573"/>
      <c r="D94" s="573"/>
      <c r="E94" s="2116"/>
      <c r="F94" s="2117"/>
      <c r="G94" s="2117"/>
      <c r="H94" s="2117"/>
      <c r="I94" s="2117"/>
      <c r="J94" s="2117"/>
      <c r="K94" s="2117"/>
      <c r="L94" s="2117"/>
      <c r="M94" s="2117"/>
      <c r="N94" s="2117"/>
      <c r="O94" s="2117"/>
      <c r="P94" s="2117"/>
      <c r="Q94" s="2117"/>
      <c r="R94" s="2117"/>
      <c r="S94" s="2117"/>
      <c r="T94" s="2117"/>
      <c r="U94" s="2117"/>
      <c r="V94" s="2117"/>
      <c r="W94" s="2117"/>
      <c r="X94" s="2117"/>
      <c r="Y94" s="2117"/>
      <c r="Z94" s="2117"/>
      <c r="AA94" s="2117"/>
      <c r="AB94" s="2117"/>
      <c r="AC94" s="2117"/>
      <c r="AD94" s="2117"/>
      <c r="AE94" s="2117"/>
      <c r="AF94" s="2117"/>
      <c r="AG94" s="2117"/>
      <c r="AH94" s="2117"/>
      <c r="AI94" s="2117"/>
      <c r="AJ94" s="2118"/>
      <c r="AK94" s="577"/>
      <c r="AL94" s="574"/>
      <c r="AM94" s="574"/>
      <c r="AN94" s="569"/>
    </row>
    <row r="95" spans="1:43" s="570" customFormat="1" ht="12.75" customHeight="1">
      <c r="A95" s="572"/>
      <c r="B95" s="573"/>
      <c r="C95" s="573"/>
      <c r="D95" s="573"/>
      <c r="E95" s="2116"/>
      <c r="F95" s="2117"/>
      <c r="G95" s="2117"/>
      <c r="H95" s="2117"/>
      <c r="I95" s="2117"/>
      <c r="J95" s="2117"/>
      <c r="K95" s="2117"/>
      <c r="L95" s="2117"/>
      <c r="M95" s="2117"/>
      <c r="N95" s="2117"/>
      <c r="O95" s="2117"/>
      <c r="P95" s="2117"/>
      <c r="Q95" s="2117"/>
      <c r="R95" s="2117"/>
      <c r="S95" s="2117"/>
      <c r="T95" s="2117"/>
      <c r="U95" s="2117"/>
      <c r="V95" s="2117"/>
      <c r="W95" s="2117"/>
      <c r="X95" s="2117"/>
      <c r="Y95" s="2117"/>
      <c r="Z95" s="2117"/>
      <c r="AA95" s="2117"/>
      <c r="AB95" s="2117"/>
      <c r="AC95" s="2117"/>
      <c r="AD95" s="2117"/>
      <c r="AE95" s="2117"/>
      <c r="AF95" s="2117"/>
      <c r="AG95" s="2117"/>
      <c r="AH95" s="2117"/>
      <c r="AI95" s="2117"/>
      <c r="AJ95" s="2118"/>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109">
        <f>Application!AC753</f>
        <v>0.5</v>
      </c>
      <c r="F97" s="2110"/>
      <c r="G97" s="2110"/>
      <c r="H97" s="2110"/>
      <c r="I97" s="611"/>
      <c r="J97" s="614" t="s">
        <v>1437</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109">
        <f ca="1">SUMIF(Application!AC718:AG752,0.2,Application!G718:J752)/Application!G753+SUMIF(Application!AC718:AG752,0.25,Application!G718:J752)/Application!G753+SUMIF(Application!AC718:AG752,0.3,Application!G718:J752)/Application!G753</f>
        <v>0.2620689655172414</v>
      </c>
      <c r="F98" s="2110"/>
      <c r="G98" s="2110"/>
      <c r="H98" s="2110"/>
      <c r="I98" s="611"/>
      <c r="J98" s="614" t="s">
        <v>1440</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109">
        <f ca="1">SUMIF(Application!AC718:AG752,0.35,Application!G718:J752)/Application!G753+SUMIF(Application!AC718:AG752,0.4,Application!G718:J752)/Application!G753+SUMIF(Application!AC718:AG752,0.45,Application!G718:J752)/Application!G753+SUMIF(Application!AC718:AG752,0.5,Application!G718:J752)/Application!G753</f>
        <v>0.41379310344827591</v>
      </c>
      <c r="F99" s="2110"/>
      <c r="G99" s="2110"/>
      <c r="H99" s="2110"/>
      <c r="I99" s="611"/>
      <c r="J99" s="614" t="s">
        <v>1441</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107">
        <f ca="1">IF(AND(E97&lt;=0.6,E98&gt;=0.1,OR(E99&gt;=0.1,E98&gt;=0.2)),20,0)</f>
        <v>20</v>
      </c>
      <c r="F100" s="2108"/>
      <c r="G100" s="2108"/>
      <c r="H100" s="2108"/>
      <c r="I100" s="587"/>
      <c r="J100" s="621" t="s">
        <v>1439</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1419</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1442</v>
      </c>
      <c r="AK103" s="2094">
        <f ca="1">MAX(AP89,AP100)</f>
        <v>20</v>
      </c>
      <c r="AL103" s="2095"/>
      <c r="AM103" s="2096"/>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1443</v>
      </c>
      <c r="B106" s="573" t="s">
        <v>1444</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38" t="s">
        <v>1425</v>
      </c>
      <c r="AF106" s="1938"/>
      <c r="AG106" s="1938"/>
      <c r="AH106" s="1938"/>
      <c r="AI106" s="1938"/>
      <c r="AJ106" s="1938"/>
      <c r="AK106" s="1938"/>
      <c r="AL106" s="574"/>
      <c r="AM106" s="574"/>
      <c r="AN106" s="569"/>
      <c r="AO106" s="570" t="str">
        <f>Application!B718</f>
        <v>SRO/Studio</v>
      </c>
      <c r="AQ106" s="570">
        <f>Application!O718</f>
        <v>783</v>
      </c>
    </row>
    <row r="107" spans="1:49" s="570" customFormat="1" ht="12.75" customHeight="1">
      <c r="A107" s="574"/>
      <c r="B107" s="573" t="s">
        <v>1435</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SRO/Studio</v>
      </c>
      <c r="AQ107" s="570">
        <f>Application!O719</f>
        <v>783</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SRO/Studio</v>
      </c>
      <c r="AQ108" s="570">
        <f>Application!O720</f>
        <v>1314</v>
      </c>
    </row>
    <row r="109" spans="1:49" s="570" customFormat="1" ht="12.75" customHeight="1">
      <c r="A109" s="574"/>
      <c r="B109" s="2121" t="s">
        <v>554</v>
      </c>
      <c r="C109" s="2121"/>
      <c r="D109" s="581" t="s">
        <v>1426</v>
      </c>
      <c r="E109" s="2113" t="s">
        <v>2049</v>
      </c>
      <c r="F109" s="2114"/>
      <c r="G109" s="2114"/>
      <c r="H109" s="2114"/>
      <c r="I109" s="2114"/>
      <c r="J109" s="2114"/>
      <c r="K109" s="2114"/>
      <c r="L109" s="2114"/>
      <c r="M109" s="2114"/>
      <c r="N109" s="2114"/>
      <c r="O109" s="2114"/>
      <c r="P109" s="2114"/>
      <c r="Q109" s="2114"/>
      <c r="R109" s="2114"/>
      <c r="S109" s="2114"/>
      <c r="T109" s="2114"/>
      <c r="U109" s="2114"/>
      <c r="V109" s="2114"/>
      <c r="W109" s="2114"/>
      <c r="X109" s="2114"/>
      <c r="Y109" s="2114"/>
      <c r="Z109" s="2114"/>
      <c r="AA109" s="2114"/>
      <c r="AB109" s="2114"/>
      <c r="AC109" s="2114"/>
      <c r="AD109" s="2114"/>
      <c r="AE109" s="2114"/>
      <c r="AF109" s="2114"/>
      <c r="AG109" s="2114"/>
      <c r="AH109" s="2114"/>
      <c r="AI109" s="2114"/>
      <c r="AJ109" s="2115"/>
      <c r="AK109" s="574"/>
      <c r="AL109" s="574"/>
      <c r="AM109" s="574"/>
      <c r="AN109" s="569"/>
      <c r="AO109" s="570" t="str">
        <f>Application!B721</f>
        <v>1 Bedroom</v>
      </c>
      <c r="AQ109" s="570">
        <f>Application!O721</f>
        <v>840</v>
      </c>
      <c r="AU109" s="570" t="s">
        <v>2031</v>
      </c>
      <c r="AV109" s="629" t="s">
        <v>2032</v>
      </c>
      <c r="AW109" s="570" t="s">
        <v>2033</v>
      </c>
    </row>
    <row r="110" spans="1:49" s="570" customFormat="1" ht="12.75" customHeight="1">
      <c r="A110" s="574"/>
      <c r="B110" s="573"/>
      <c r="C110" s="573"/>
      <c r="D110" s="573"/>
      <c r="E110" s="2116"/>
      <c r="F110" s="2117"/>
      <c r="G110" s="2117"/>
      <c r="H110" s="2117"/>
      <c r="I110" s="2117"/>
      <c r="J110" s="2117"/>
      <c r="K110" s="2117"/>
      <c r="L110" s="2117"/>
      <c r="M110" s="2117"/>
      <c r="N110" s="2117"/>
      <c r="O110" s="2117"/>
      <c r="P110" s="2117"/>
      <c r="Q110" s="2117"/>
      <c r="R110" s="2117"/>
      <c r="S110" s="2117"/>
      <c r="T110" s="2117"/>
      <c r="U110" s="2117"/>
      <c r="V110" s="2117"/>
      <c r="W110" s="2117"/>
      <c r="X110" s="2117"/>
      <c r="Y110" s="2117"/>
      <c r="Z110" s="2117"/>
      <c r="AA110" s="2117"/>
      <c r="AB110" s="2117"/>
      <c r="AC110" s="2117"/>
      <c r="AD110" s="2117"/>
      <c r="AE110" s="2117"/>
      <c r="AF110" s="2117"/>
      <c r="AG110" s="2117"/>
      <c r="AH110" s="2117"/>
      <c r="AI110" s="2117"/>
      <c r="AJ110" s="2118"/>
      <c r="AK110" s="574"/>
      <c r="AL110" s="574"/>
      <c r="AM110" s="574"/>
      <c r="AN110" s="569"/>
      <c r="AO110" s="570" t="str">
        <f>Application!B722</f>
        <v>1 Bedroom</v>
      </c>
      <c r="AQ110" s="570">
        <f>Application!O722</f>
        <v>840</v>
      </c>
      <c r="AU110" s="890" t="str">
        <f>E118</f>
        <v>Studio/SRO</v>
      </c>
      <c r="AV110" s="570">
        <f t="array" ref="AV110">SUM(IF(Application!B718:F752="SRO/Studio",Application!G718:J752))</f>
        <v>24</v>
      </c>
      <c r="AW110" s="1046">
        <f>AV110/AV116</f>
        <v>0.16551724137931034</v>
      </c>
    </row>
    <row r="111" spans="1:49" s="570" customFormat="1" ht="12.75" customHeight="1">
      <c r="A111" s="574"/>
      <c r="B111" s="573"/>
      <c r="C111" s="573"/>
      <c r="D111" s="573"/>
      <c r="E111" s="2116"/>
      <c r="F111" s="2117"/>
      <c r="G111" s="2117"/>
      <c r="H111" s="2117"/>
      <c r="I111" s="2117"/>
      <c r="J111" s="2117"/>
      <c r="K111" s="2117"/>
      <c r="L111" s="2117"/>
      <c r="M111" s="2117"/>
      <c r="N111" s="2117"/>
      <c r="O111" s="2117"/>
      <c r="P111" s="2117"/>
      <c r="Q111" s="2117"/>
      <c r="R111" s="2117"/>
      <c r="S111" s="2117"/>
      <c r="T111" s="2117"/>
      <c r="U111" s="2117"/>
      <c r="V111" s="2117"/>
      <c r="W111" s="2117"/>
      <c r="X111" s="2117"/>
      <c r="Y111" s="2117"/>
      <c r="Z111" s="2117"/>
      <c r="AA111" s="2117"/>
      <c r="AB111" s="2117"/>
      <c r="AC111" s="2117"/>
      <c r="AD111" s="2117"/>
      <c r="AE111" s="2117"/>
      <c r="AF111" s="2117"/>
      <c r="AG111" s="2117"/>
      <c r="AH111" s="2117"/>
      <c r="AI111" s="2117"/>
      <c r="AJ111" s="2118"/>
      <c r="AK111" s="574"/>
      <c r="AL111" s="574"/>
      <c r="AM111" s="574"/>
      <c r="AN111" s="569"/>
      <c r="AO111" s="570" t="str">
        <f>Application!B723</f>
        <v>1 Bedroom</v>
      </c>
      <c r="AQ111" s="570">
        <f>Application!O723</f>
        <v>1124</v>
      </c>
      <c r="AU111" s="890" t="str">
        <f>J118</f>
        <v>1-bedroom</v>
      </c>
      <c r="AV111" s="570">
        <f t="array" ref="AV111">SUM(IF(Application!B718:F752="1 Bedroom",Application!G718:J752))</f>
        <v>38</v>
      </c>
      <c r="AW111" s="1046">
        <f>AV111/AV116</f>
        <v>0.2620689655172414</v>
      </c>
    </row>
    <row r="112" spans="1:49" s="570" customFormat="1" ht="12.75" customHeight="1">
      <c r="A112" s="574"/>
      <c r="B112" s="573"/>
      <c r="C112" s="573"/>
      <c r="D112" s="573"/>
      <c r="E112" s="2116"/>
      <c r="F112" s="2117"/>
      <c r="G112" s="2117"/>
      <c r="H112" s="2117"/>
      <c r="I112" s="2117"/>
      <c r="J112" s="2117"/>
      <c r="K112" s="2117"/>
      <c r="L112" s="2117"/>
      <c r="M112" s="2117"/>
      <c r="N112" s="2117"/>
      <c r="O112" s="2117"/>
      <c r="P112" s="2117"/>
      <c r="Q112" s="2117"/>
      <c r="R112" s="2117"/>
      <c r="S112" s="2117"/>
      <c r="T112" s="2117"/>
      <c r="U112" s="2117"/>
      <c r="V112" s="2117"/>
      <c r="W112" s="2117"/>
      <c r="X112" s="2117"/>
      <c r="Y112" s="2117"/>
      <c r="Z112" s="2117"/>
      <c r="AA112" s="2117"/>
      <c r="AB112" s="2117"/>
      <c r="AC112" s="2117"/>
      <c r="AD112" s="2117"/>
      <c r="AE112" s="2117"/>
      <c r="AF112" s="2117"/>
      <c r="AG112" s="2117"/>
      <c r="AH112" s="2117"/>
      <c r="AI112" s="2117"/>
      <c r="AJ112" s="2118"/>
      <c r="AK112" s="574"/>
      <c r="AL112" s="574"/>
      <c r="AM112" s="574"/>
      <c r="AN112" s="569"/>
      <c r="AO112" s="570" t="str">
        <f>Application!B724</f>
        <v>1 Bedroom</v>
      </c>
      <c r="AQ112" s="570">
        <f>Application!O724</f>
        <v>1408</v>
      </c>
      <c r="AU112" s="890" t="str">
        <f>O118</f>
        <v>2-bedroom</v>
      </c>
      <c r="AV112" s="570">
        <f t="array" ref="AV112">SUM(IF(Application!B718:F752="2 Bedrooms",Application!G718:J752))</f>
        <v>42</v>
      </c>
      <c r="AW112" s="1046">
        <f>AV112/AV116</f>
        <v>0.28965517241379313</v>
      </c>
    </row>
    <row r="113" spans="1:52" s="570" customFormat="1" ht="12.75" customHeight="1">
      <c r="A113" s="574"/>
      <c r="B113" s="573"/>
      <c r="C113" s="573"/>
      <c r="D113" s="573"/>
      <c r="E113" s="2116"/>
      <c r="F113" s="2117"/>
      <c r="G113" s="2117"/>
      <c r="H113" s="2117"/>
      <c r="I113" s="2117"/>
      <c r="J113" s="2117"/>
      <c r="K113" s="2117"/>
      <c r="L113" s="2117"/>
      <c r="M113" s="2117"/>
      <c r="N113" s="2117"/>
      <c r="O113" s="2117"/>
      <c r="P113" s="2117"/>
      <c r="Q113" s="2117"/>
      <c r="R113" s="2117"/>
      <c r="S113" s="2117"/>
      <c r="T113" s="2117"/>
      <c r="U113" s="2117"/>
      <c r="V113" s="2117"/>
      <c r="W113" s="2117"/>
      <c r="X113" s="2117"/>
      <c r="Y113" s="2117"/>
      <c r="Z113" s="2117"/>
      <c r="AA113" s="2117"/>
      <c r="AB113" s="2117"/>
      <c r="AC113" s="2117"/>
      <c r="AD113" s="2117"/>
      <c r="AE113" s="2117"/>
      <c r="AF113" s="2117"/>
      <c r="AG113" s="2117"/>
      <c r="AH113" s="2117"/>
      <c r="AI113" s="2117"/>
      <c r="AJ113" s="2118"/>
      <c r="AK113" s="574"/>
      <c r="AL113" s="574"/>
      <c r="AM113" s="574"/>
      <c r="AN113" s="569"/>
      <c r="AO113" s="570" t="str">
        <f>Application!B725</f>
        <v>1 Bedroom</v>
      </c>
      <c r="AQ113" s="570">
        <f>Application!O725</f>
        <v>2099</v>
      </c>
      <c r="AU113" s="890" t="str">
        <f>T118</f>
        <v>3-bedroom</v>
      </c>
      <c r="AV113" s="570">
        <f t="array" ref="AV113">SUM(IF(Application!B718:F752="3 Bedrooms",Application!G718:J752))</f>
        <v>41</v>
      </c>
      <c r="AW113" s="1046">
        <f>AV113/AV116</f>
        <v>0.28275862068965518</v>
      </c>
    </row>
    <row r="114" spans="1:52" s="570" customFormat="1" ht="12.75" customHeight="1">
      <c r="A114" s="574"/>
      <c r="B114" s="573"/>
      <c r="C114" s="573"/>
      <c r="D114" s="573"/>
      <c r="E114" s="2116"/>
      <c r="F114" s="2117"/>
      <c r="G114" s="2117"/>
      <c r="H114" s="2117"/>
      <c r="I114" s="2117"/>
      <c r="J114" s="2117"/>
      <c r="K114" s="2117"/>
      <c r="L114" s="2117"/>
      <c r="M114" s="2117"/>
      <c r="N114" s="2117"/>
      <c r="O114" s="2117"/>
      <c r="P114" s="2117"/>
      <c r="Q114" s="2117"/>
      <c r="R114" s="2117"/>
      <c r="S114" s="2117"/>
      <c r="T114" s="2117"/>
      <c r="U114" s="2117"/>
      <c r="V114" s="2117"/>
      <c r="W114" s="2117"/>
      <c r="X114" s="2117"/>
      <c r="Y114" s="2117"/>
      <c r="Z114" s="2117"/>
      <c r="AA114" s="2117"/>
      <c r="AB114" s="2117"/>
      <c r="AC114" s="2117"/>
      <c r="AD114" s="2117"/>
      <c r="AE114" s="2117"/>
      <c r="AF114" s="2117"/>
      <c r="AG114" s="2117"/>
      <c r="AH114" s="2117"/>
      <c r="AI114" s="2117"/>
      <c r="AJ114" s="2118"/>
      <c r="AK114" s="574"/>
      <c r="AL114" s="574"/>
      <c r="AM114" s="574"/>
      <c r="AN114" s="569"/>
      <c r="AO114" s="570" t="str">
        <f>Application!B726</f>
        <v>2 Bedrooms</v>
      </c>
      <c r="AQ114" s="570">
        <f>Application!O726</f>
        <v>1011</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116"/>
      <c r="F115" s="2117"/>
      <c r="G115" s="2117"/>
      <c r="H115" s="2117"/>
      <c r="I115" s="2117"/>
      <c r="J115" s="2117"/>
      <c r="K115" s="2117"/>
      <c r="L115" s="2117"/>
      <c r="M115" s="2117"/>
      <c r="N115" s="2117"/>
      <c r="O115" s="2117"/>
      <c r="P115" s="2117"/>
      <c r="Q115" s="2117"/>
      <c r="R115" s="2117"/>
      <c r="S115" s="2117"/>
      <c r="T115" s="2117"/>
      <c r="U115" s="2117"/>
      <c r="V115" s="2117"/>
      <c r="W115" s="2117"/>
      <c r="X115" s="2117"/>
      <c r="Y115" s="2117"/>
      <c r="Z115" s="2117"/>
      <c r="AA115" s="2117"/>
      <c r="AB115" s="2117"/>
      <c r="AC115" s="2117"/>
      <c r="AD115" s="2117"/>
      <c r="AE115" s="2117"/>
      <c r="AF115" s="2117"/>
      <c r="AG115" s="2117"/>
      <c r="AH115" s="2117"/>
      <c r="AI115" s="2117"/>
      <c r="AJ115" s="2118"/>
      <c r="AK115" s="574"/>
      <c r="AL115" s="574"/>
      <c r="AM115" s="574"/>
      <c r="AN115" s="569"/>
      <c r="AO115" s="570" t="str">
        <f>Application!B727</f>
        <v>2 Bedrooms</v>
      </c>
      <c r="AQ115" s="570">
        <f>Application!O727</f>
        <v>1352</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116"/>
      <c r="F116" s="2117"/>
      <c r="G116" s="2117"/>
      <c r="H116" s="2117"/>
      <c r="I116" s="2117"/>
      <c r="J116" s="2117"/>
      <c r="K116" s="2117"/>
      <c r="L116" s="2117"/>
      <c r="M116" s="2117"/>
      <c r="N116" s="2117"/>
      <c r="O116" s="2117"/>
      <c r="P116" s="2117"/>
      <c r="Q116" s="2117"/>
      <c r="R116" s="2117"/>
      <c r="S116" s="2117"/>
      <c r="T116" s="2117"/>
      <c r="U116" s="2117"/>
      <c r="V116" s="2117"/>
      <c r="W116" s="2117"/>
      <c r="X116" s="2117"/>
      <c r="Y116" s="2117"/>
      <c r="Z116" s="2117"/>
      <c r="AA116" s="2117"/>
      <c r="AB116" s="2117"/>
      <c r="AC116" s="2117"/>
      <c r="AD116" s="2117"/>
      <c r="AE116" s="2117"/>
      <c r="AF116" s="2117"/>
      <c r="AG116" s="2117"/>
      <c r="AH116" s="2117"/>
      <c r="AI116" s="2117"/>
      <c r="AJ116" s="2118"/>
      <c r="AK116" s="574"/>
      <c r="AL116" s="574"/>
      <c r="AM116" s="574"/>
      <c r="AN116" s="569"/>
      <c r="AO116" s="570" t="str">
        <f>Application!B728</f>
        <v>2 Bedrooms</v>
      </c>
      <c r="AQ116" s="570">
        <f>Application!O728</f>
        <v>1693</v>
      </c>
      <c r="AV116" s="570">
        <f>SUM(AV110:AV115)</f>
        <v>145</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2 Bedrooms</v>
      </c>
      <c r="AQ117" s="570">
        <f>Application!O729</f>
        <v>2034</v>
      </c>
    </row>
    <row r="118" spans="1:52" s="570" customFormat="1" ht="12.75" customHeight="1">
      <c r="A118" s="574"/>
      <c r="B118" s="573"/>
      <c r="C118" s="574"/>
      <c r="D118" s="574"/>
      <c r="E118" s="2109" t="s">
        <v>1700</v>
      </c>
      <c r="F118" s="2110"/>
      <c r="G118" s="2110"/>
      <c r="H118" s="2110"/>
      <c r="I118" s="611"/>
      <c r="J118" s="2110" t="s">
        <v>1744</v>
      </c>
      <c r="K118" s="2110"/>
      <c r="L118" s="2110"/>
      <c r="M118" s="2110"/>
      <c r="N118" s="611"/>
      <c r="O118" s="2110" t="s">
        <v>1745</v>
      </c>
      <c r="P118" s="2110"/>
      <c r="Q118" s="2110"/>
      <c r="R118" s="2110"/>
      <c r="S118" s="611"/>
      <c r="T118" s="2110" t="s">
        <v>1445</v>
      </c>
      <c r="U118" s="2110"/>
      <c r="V118" s="2110"/>
      <c r="W118" s="2110"/>
      <c r="X118" s="611"/>
      <c r="Y118" s="2110" t="s">
        <v>1746</v>
      </c>
      <c r="Z118" s="2110"/>
      <c r="AA118" s="2110"/>
      <c r="AB118" s="2110"/>
      <c r="AC118" s="611"/>
      <c r="AD118" s="2110" t="s">
        <v>1747</v>
      </c>
      <c r="AE118" s="2110"/>
      <c r="AF118" s="2110"/>
      <c r="AG118" s="2110"/>
      <c r="AH118" s="611"/>
      <c r="AI118" s="611"/>
      <c r="AJ118" s="613"/>
      <c r="AK118" s="574"/>
      <c r="AL118" s="574"/>
      <c r="AM118" s="574"/>
      <c r="AN118" s="569"/>
      <c r="AO118" s="570" t="str">
        <f>Application!B730</f>
        <v>2 Bedrooms</v>
      </c>
      <c r="AQ118" s="570">
        <f>Application!O730</f>
        <v>2650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t="str">
        <f>Application!B731</f>
        <v>3 Bedrooms</v>
      </c>
      <c r="AQ119" s="570">
        <f>Application!O731</f>
        <v>1170</v>
      </c>
    </row>
    <row r="120" spans="1:52" s="570" customFormat="1" ht="12.75" customHeight="1">
      <c r="A120" s="574"/>
      <c r="B120" s="573"/>
      <c r="C120" s="574"/>
      <c r="D120" s="574"/>
      <c r="E120" s="900" t="s">
        <v>1748</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t="str">
        <f>Application!B732</f>
        <v>3 Bedrooms</v>
      </c>
      <c r="AQ120" s="570">
        <f>Application!O732</f>
        <v>1170</v>
      </c>
    </row>
    <row r="121" spans="1:52" s="570" customFormat="1" ht="12.75" customHeight="1">
      <c r="A121" s="574"/>
      <c r="B121" s="573"/>
      <c r="C121" s="574"/>
      <c r="D121" s="574"/>
      <c r="E121" s="2111">
        <v>1194</v>
      </c>
      <c r="F121" s="2112"/>
      <c r="G121" s="2112"/>
      <c r="H121" s="2112"/>
      <c r="I121" s="898"/>
      <c r="J121" s="2112">
        <v>2056</v>
      </c>
      <c r="K121" s="2112"/>
      <c r="L121" s="2112"/>
      <c r="M121" s="2112"/>
      <c r="N121" s="898"/>
      <c r="O121" s="2112">
        <v>2470</v>
      </c>
      <c r="P121" s="2112"/>
      <c r="Q121" s="2112"/>
      <c r="R121" s="2112"/>
      <c r="S121" s="898"/>
      <c r="T121" s="2112">
        <v>2750</v>
      </c>
      <c r="U121" s="2112"/>
      <c r="V121" s="2112"/>
      <c r="W121" s="2112"/>
      <c r="X121" s="898"/>
      <c r="Y121" s="2112"/>
      <c r="Z121" s="2112"/>
      <c r="AA121" s="2112"/>
      <c r="AB121" s="2112"/>
      <c r="AC121" s="898"/>
      <c r="AD121" s="2112"/>
      <c r="AE121" s="2112"/>
      <c r="AF121" s="2112"/>
      <c r="AG121" s="2112"/>
      <c r="AH121" s="611"/>
      <c r="AI121" s="611"/>
      <c r="AJ121" s="613"/>
      <c r="AK121" s="574"/>
      <c r="AL121" s="574"/>
      <c r="AM121" s="574"/>
      <c r="AN121" s="569"/>
      <c r="AO121" s="570" t="str">
        <f>Application!B733</f>
        <v>3 Bedrooms</v>
      </c>
      <c r="AQ121" s="570">
        <f>Application!O733</f>
        <v>1564</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t="str">
        <f>Application!B734</f>
        <v>3 Bedrooms</v>
      </c>
      <c r="AQ122" s="570">
        <f>Application!O734</f>
        <v>1958</v>
      </c>
      <c r="AU122" s="1044"/>
      <c r="AV122" s="1044"/>
      <c r="AW122" s="1044"/>
      <c r="AX122" s="1044"/>
      <c r="AY122" s="1044"/>
      <c r="AZ122" s="1044"/>
    </row>
    <row r="123" spans="1:52" s="570" customFormat="1" ht="12.75" customHeight="1">
      <c r="A123" s="574"/>
      <c r="B123" s="573"/>
      <c r="C123" s="574"/>
      <c r="D123" s="574"/>
      <c r="E123" s="900" t="s">
        <v>2035</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t="str">
        <f>Application!B735</f>
        <v>3 Bedrooms</v>
      </c>
      <c r="AQ123" s="570">
        <f>Application!O735</f>
        <v>2352</v>
      </c>
      <c r="AU123" s="1044"/>
      <c r="AV123" s="1044"/>
      <c r="AW123" s="1044"/>
      <c r="AX123" s="1044"/>
      <c r="AY123" s="1044"/>
      <c r="AZ123" s="1044"/>
    </row>
    <row r="124" spans="1:52" s="570" customFormat="1" ht="12.75" customHeight="1">
      <c r="A124" s="574"/>
      <c r="B124" s="573"/>
      <c r="C124" s="574"/>
      <c r="D124" s="574"/>
      <c r="E124" s="2119">
        <f>Application!DX670</f>
        <v>1114.875</v>
      </c>
      <c r="F124" s="2120"/>
      <c r="G124" s="2120"/>
      <c r="H124" s="2120"/>
      <c r="I124" s="898"/>
      <c r="J124" s="2120">
        <f>Application!EC670</f>
        <v>1314.3157894736842</v>
      </c>
      <c r="K124" s="2120"/>
      <c r="L124" s="2120"/>
      <c r="M124" s="2120"/>
      <c r="N124" s="898"/>
      <c r="O124" s="2120">
        <f>Application!EH670</f>
        <v>1677.2857142857142</v>
      </c>
      <c r="P124" s="2120"/>
      <c r="Q124" s="2120"/>
      <c r="R124" s="2120"/>
      <c r="S124" s="902"/>
      <c r="T124" s="2120">
        <f>Application!EM670</f>
        <v>2122.2439024390242</v>
      </c>
      <c r="U124" s="2120"/>
      <c r="V124" s="2120"/>
      <c r="W124" s="2120"/>
      <c r="X124" s="902"/>
      <c r="Y124" s="2120">
        <f>Application!ER670</f>
        <v>0</v>
      </c>
      <c r="Z124" s="2120"/>
      <c r="AA124" s="2120"/>
      <c r="AB124" s="2120"/>
      <c r="AC124" s="902"/>
      <c r="AD124" s="2120">
        <f>Application!EW670</f>
        <v>0</v>
      </c>
      <c r="AE124" s="2120"/>
      <c r="AF124" s="2120"/>
      <c r="AG124" s="2120"/>
      <c r="AH124" s="611"/>
      <c r="AI124" s="611"/>
      <c r="AJ124" s="613"/>
      <c r="AK124" s="574"/>
      <c r="AL124" s="574"/>
      <c r="AM124" s="574"/>
      <c r="AN124" s="569"/>
      <c r="AO124" s="570" t="str">
        <f>Application!B736</f>
        <v>3 Bedrooms</v>
      </c>
      <c r="AQ124" s="570">
        <f>Application!O736</f>
        <v>2750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2036</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911">
        <f>(E121-E124)/E121</f>
        <v>6.626884422110553E-2</v>
      </c>
      <c r="F127" s="1912"/>
      <c r="G127" s="1912"/>
      <c r="H127" s="1913"/>
      <c r="I127" s="611"/>
      <c r="J127" s="1911">
        <f>(J121-J124)/J121</f>
        <v>0.36074134753225479</v>
      </c>
      <c r="K127" s="1912"/>
      <c r="L127" s="1912"/>
      <c r="M127" s="1913"/>
      <c r="N127" s="611"/>
      <c r="O127" s="1911">
        <f>(O121-O124)/O121</f>
        <v>0.32093695777906306</v>
      </c>
      <c r="P127" s="1912"/>
      <c r="Q127" s="1912"/>
      <c r="R127" s="1913"/>
      <c r="S127" s="611"/>
      <c r="T127" s="1911">
        <f>(T121-T124)/T121</f>
        <v>0.22827494456762756</v>
      </c>
      <c r="U127" s="1912"/>
      <c r="V127" s="1912"/>
      <c r="W127" s="1913"/>
      <c r="X127" s="611"/>
      <c r="Y127" s="1911" t="e">
        <f>(Y121-Y124)/Y121</f>
        <v>#DIV/0!</v>
      </c>
      <c r="Z127" s="1912"/>
      <c r="AA127" s="1912"/>
      <c r="AB127" s="1913"/>
      <c r="AC127" s="611"/>
      <c r="AD127" s="1911" t="e">
        <f>(AD121-AD124)/AD121</f>
        <v>#DIV/0!</v>
      </c>
      <c r="AE127" s="1912"/>
      <c r="AF127" s="1912"/>
      <c r="AG127" s="1913"/>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2037</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22">
        <f>IF(((E127-0.1)*AW110)&gt;0,((E127-0.1)*AW110),0)</f>
        <v>0</v>
      </c>
      <c r="F130" s="2123"/>
      <c r="G130" s="2123"/>
      <c r="H130" s="2124"/>
      <c r="I130" s="611"/>
      <c r="J130" s="2122">
        <f>IF(((J127-0.1)*AW111)&gt;0,((J127-0.1)*AW111),0)</f>
        <v>6.8332215215349532E-2</v>
      </c>
      <c r="K130" s="2123"/>
      <c r="L130" s="2123"/>
      <c r="M130" s="2124"/>
      <c r="N130" s="611"/>
      <c r="O130" s="2122">
        <f>IF(((O127-0.1)*AW112)&gt;0,((O127-0.1)*AW112),0)</f>
        <v>6.3995532598073446E-2</v>
      </c>
      <c r="P130" s="2123"/>
      <c r="Q130" s="2123"/>
      <c r="R130" s="2124"/>
      <c r="S130" s="611"/>
      <c r="T130" s="2122">
        <f>IF(((T127-0.1)*AW113)&gt;0,((T127-0.1)*AW113),0)</f>
        <v>3.6270846394984346E-2</v>
      </c>
      <c r="U130" s="2123"/>
      <c r="V130" s="2123"/>
      <c r="W130" s="2124"/>
      <c r="X130" s="611"/>
      <c r="Y130" s="2122" t="e">
        <f>IF(((Y127-0.1)*AW114)&gt;0,((Y127-0.1)*AW114),0)</f>
        <v>#DIV/0!</v>
      </c>
      <c r="Z130" s="2123"/>
      <c r="AA130" s="2123"/>
      <c r="AB130" s="2124"/>
      <c r="AC130" s="611"/>
      <c r="AD130" s="2122" t="e">
        <f>IF(((AD127-0.1)*AW115)&gt;0,((AD127-0.1)*AW115),0)</f>
        <v>#DIV/0!</v>
      </c>
      <c r="AE130" s="2123"/>
      <c r="AF130" s="2123"/>
      <c r="AG130" s="2124"/>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911">
        <f>ROUNDDOWN(SUMIF(E130:AG130,"&gt;0"),2)</f>
        <v>0.16</v>
      </c>
      <c r="F132" s="1912"/>
      <c r="G132" s="1912"/>
      <c r="H132" s="1913"/>
      <c r="I132" s="611"/>
      <c r="J132" s="614" t="s">
        <v>2038</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94">
        <f>IF((E132*100)&gt;10,10,E132*100)</f>
        <v>10</v>
      </c>
      <c r="F133" s="2095"/>
      <c r="G133" s="2095"/>
      <c r="H133" s="2096"/>
      <c r="I133" s="611"/>
      <c r="J133" s="614" t="s">
        <v>1439</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1446</v>
      </c>
      <c r="AK137" s="2094">
        <f>E133</f>
        <v>10</v>
      </c>
      <c r="AL137" s="2095"/>
      <c r="AM137" s="2096"/>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1447</v>
      </c>
      <c r="AE140" s="1938" t="s">
        <v>1425</v>
      </c>
      <c r="AF140" s="1938"/>
      <c r="AG140" s="1938"/>
      <c r="AH140" s="1938"/>
      <c r="AI140" s="1938"/>
      <c r="AJ140" s="1938"/>
      <c r="AK140" s="1938"/>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1448</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2005" t="s">
        <v>1449</v>
      </c>
      <c r="AG142" s="2005"/>
      <c r="AH142" s="2005"/>
      <c r="AI142" s="2005"/>
      <c r="AJ142" s="2005"/>
      <c r="AK142" s="2005"/>
      <c r="AL142" s="2005"/>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99" t="s">
        <v>2783</v>
      </c>
      <c r="C144" s="2099"/>
      <c r="D144" s="2099"/>
      <c r="E144" s="2099"/>
      <c r="F144" s="2099"/>
      <c r="G144" s="2099"/>
      <c r="H144" s="2099"/>
      <c r="I144" s="2099"/>
      <c r="J144" s="2099"/>
      <c r="K144" s="2099"/>
      <c r="L144" s="2099"/>
      <c r="M144" s="2099"/>
      <c r="N144" s="2099"/>
      <c r="O144" s="2099"/>
      <c r="P144" s="2099"/>
      <c r="Q144" s="2099"/>
      <c r="R144" s="2099"/>
      <c r="S144" s="2099"/>
      <c r="T144" s="2099"/>
      <c r="U144" s="2099"/>
      <c r="V144" s="2099"/>
      <c r="W144" s="2099"/>
      <c r="X144" s="2099"/>
      <c r="Y144" s="2099"/>
      <c r="Z144" s="2099"/>
      <c r="AA144" s="2099"/>
      <c r="AB144" s="2099"/>
      <c r="AC144" s="2099"/>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1450</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1451</v>
      </c>
      <c r="AP146" s="523">
        <v>5</v>
      </c>
    </row>
    <row r="147" spans="1:42" s="570" customFormat="1" ht="12.75" customHeight="1">
      <c r="A147" s="572"/>
      <c r="B147" s="2100" t="s">
        <v>1452</v>
      </c>
      <c r="C147" s="2100"/>
      <c r="D147" s="2100"/>
      <c r="E147" s="2100"/>
      <c r="F147" s="2100"/>
      <c r="G147" s="2100"/>
      <c r="H147" s="2100"/>
      <c r="I147" s="2100"/>
      <c r="J147" s="2100"/>
      <c r="K147" s="2100"/>
      <c r="L147" s="2100"/>
      <c r="M147" s="2100"/>
      <c r="N147" s="2100"/>
      <c r="O147" s="2100"/>
      <c r="P147" s="2100"/>
      <c r="Q147" s="2100"/>
      <c r="R147" s="2100"/>
      <c r="S147" s="2100"/>
      <c r="T147" s="2100"/>
      <c r="U147" s="2100"/>
      <c r="V147" s="2100"/>
      <c r="W147" s="2100"/>
      <c r="X147" s="2100"/>
      <c r="Y147" s="2100"/>
      <c r="Z147" s="2100"/>
      <c r="AA147" s="2100"/>
      <c r="AB147" s="2100"/>
      <c r="AC147" s="2100"/>
      <c r="AD147" s="2100"/>
      <c r="AE147" s="2100"/>
      <c r="AF147" s="2100"/>
      <c r="AG147" s="2100"/>
      <c r="AH147" s="2100"/>
      <c r="AI147" s="2100"/>
      <c r="AM147" s="573"/>
      <c r="AN147" s="569"/>
      <c r="AO147" s="510" t="s">
        <v>1452</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2331</v>
      </c>
      <c r="AP148" s="523">
        <v>7</v>
      </c>
    </row>
    <row r="149" spans="1:42" s="570" customFormat="1" ht="12.75" customHeight="1">
      <c r="A149" s="572"/>
      <c r="B149" s="573" t="s">
        <v>1453</v>
      </c>
      <c r="AB149" s="2041" t="s">
        <v>600</v>
      </c>
      <c r="AC149" s="2041"/>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1454</v>
      </c>
      <c r="AP150" s="523"/>
    </row>
    <row r="151" spans="1:42" s="570" customFormat="1" ht="12.75" customHeight="1">
      <c r="A151" s="572"/>
      <c r="B151" s="572" t="s">
        <v>1455</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1456</v>
      </c>
      <c r="AP151" s="523">
        <v>5</v>
      </c>
    </row>
    <row r="152" spans="1:42" s="570" customFormat="1" ht="12.75" customHeight="1">
      <c r="A152" s="572"/>
      <c r="B152" s="2100" t="s">
        <v>1454</v>
      </c>
      <c r="C152" s="2100"/>
      <c r="D152" s="2100"/>
      <c r="E152" s="2100"/>
      <c r="F152" s="2100"/>
      <c r="G152" s="2100"/>
      <c r="H152" s="2100"/>
      <c r="I152" s="2100"/>
      <c r="J152" s="2100"/>
      <c r="K152" s="2100"/>
      <c r="L152" s="2100"/>
      <c r="M152" s="2100"/>
      <c r="N152" s="2100"/>
      <c r="O152" s="2100"/>
      <c r="P152" s="2100"/>
      <c r="Q152" s="2100"/>
      <c r="R152" s="2100"/>
      <c r="S152" s="2100"/>
      <c r="T152" s="2100"/>
      <c r="U152" s="2100"/>
      <c r="V152" s="2100"/>
      <c r="W152" s="2100"/>
      <c r="X152" s="2100"/>
      <c r="Y152" s="2100"/>
      <c r="Z152" s="2100"/>
      <c r="AA152" s="2100"/>
      <c r="AB152" s="2100"/>
      <c r="AC152" s="2100"/>
      <c r="AD152" s="2100"/>
      <c r="AE152" s="2100"/>
      <c r="AF152" s="2100"/>
      <c r="AG152" s="2100"/>
      <c r="AH152" s="2100"/>
      <c r="AI152" s="2100"/>
      <c r="AJ152" s="2100"/>
      <c r="AN152" s="569"/>
      <c r="AO152" s="510" t="s">
        <v>1457</v>
      </c>
      <c r="AP152" s="523">
        <v>7</v>
      </c>
    </row>
    <row r="153" spans="1:42" s="570" customFormat="1" ht="12.75" customHeight="1">
      <c r="B153" s="573" t="s">
        <v>1458</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1460</v>
      </c>
      <c r="AJ155" s="1965">
        <f>IF($AB$149="N/A",VLOOKUP($B$147,$AO$145:$AP$148,2,FALSE),VLOOKUP($B$152,$AO$150:$AP$152,2,FALSE))</f>
        <v>7</v>
      </c>
      <c r="AK155" s="1965"/>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1462</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2005" t="s">
        <v>1463</v>
      </c>
      <c r="AG157" s="2005"/>
      <c r="AH157" s="2005"/>
      <c r="AI157" s="2005"/>
      <c r="AJ157" s="2005"/>
      <c r="AK157" s="2005"/>
      <c r="AL157" s="2005"/>
      <c r="AM157" s="637"/>
      <c r="AN157" s="632"/>
    </row>
    <row r="158" spans="1:42" s="584" customFormat="1" ht="12.75" customHeight="1">
      <c r="A158" s="570"/>
      <c r="B158" s="573" t="s">
        <v>1464</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100" t="s">
        <v>1461</v>
      </c>
      <c r="D159" s="2100"/>
      <c r="E159" s="2100"/>
      <c r="F159" s="2100"/>
      <c r="G159" s="2100"/>
      <c r="H159" s="2100"/>
      <c r="I159" s="2100"/>
      <c r="J159" s="2100"/>
      <c r="K159" s="2100"/>
      <c r="L159" s="2100"/>
      <c r="M159" s="2100"/>
      <c r="N159" s="2100"/>
      <c r="O159" s="2100"/>
      <c r="P159" s="2100"/>
      <c r="Q159" s="2100"/>
      <c r="R159" s="2100"/>
      <c r="S159" s="2100"/>
      <c r="T159" s="2100"/>
      <c r="U159" s="2100"/>
      <c r="V159" s="2100"/>
      <c r="W159" s="2100"/>
      <c r="X159" s="2100"/>
      <c r="Y159" s="2100"/>
      <c r="Z159" s="2100"/>
      <c r="AA159" s="2100"/>
      <c r="AB159" s="2100"/>
      <c r="AC159" s="2100"/>
      <c r="AD159" s="2100"/>
      <c r="AE159" s="2100"/>
      <c r="AF159" s="2100"/>
      <c r="AG159" s="2100"/>
      <c r="AH159" s="2100"/>
      <c r="AI159" s="2100"/>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1459</v>
      </c>
      <c r="AP160" s="633">
        <v>2</v>
      </c>
    </row>
    <row r="161" spans="1:73" s="584" customFormat="1" ht="12.75" customHeight="1">
      <c r="A161" s="570"/>
      <c r="B161" s="570"/>
      <c r="C161" s="573" t="s">
        <v>1466</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41" t="s">
        <v>600</v>
      </c>
      <c r="AG161" s="2041"/>
      <c r="AH161" s="570"/>
      <c r="AI161" s="570"/>
      <c r="AJ161" s="570"/>
      <c r="AK161" s="570"/>
      <c r="AL161" s="570"/>
      <c r="AM161" s="637"/>
      <c r="AN161" s="631"/>
      <c r="AO161" s="510" t="s">
        <v>1461</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2531</v>
      </c>
      <c r="AP162" s="633">
        <v>3</v>
      </c>
    </row>
    <row r="163" spans="1:73" s="584" customFormat="1" ht="12.75" customHeight="1">
      <c r="A163" s="570"/>
      <c r="B163" s="570"/>
      <c r="C163" s="2100" t="s">
        <v>1454</v>
      </c>
      <c r="D163" s="2100"/>
      <c r="E163" s="2100"/>
      <c r="F163" s="2100"/>
      <c r="G163" s="2100"/>
      <c r="H163" s="2100"/>
      <c r="I163" s="2100"/>
      <c r="J163" s="2100"/>
      <c r="K163" s="2100"/>
      <c r="L163" s="2100"/>
      <c r="M163" s="2100"/>
      <c r="N163" s="2100"/>
      <c r="O163" s="2100"/>
      <c r="P163" s="2100"/>
      <c r="Q163" s="2100"/>
      <c r="R163" s="2100"/>
      <c r="S163" s="2100"/>
      <c r="T163" s="2100"/>
      <c r="U163" s="2100"/>
      <c r="V163" s="2100"/>
      <c r="W163" s="2100"/>
      <c r="X163" s="2100"/>
      <c r="Y163" s="2100"/>
      <c r="Z163" s="2100"/>
      <c r="AA163" s="2100"/>
      <c r="AB163" s="2100"/>
      <c r="AC163" s="2100"/>
      <c r="AD163" s="2100"/>
      <c r="AE163" s="570"/>
      <c r="AF163" s="570"/>
      <c r="AG163" s="570"/>
      <c r="AH163" s="570"/>
      <c r="AI163" s="570"/>
      <c r="AJ163" s="570"/>
      <c r="AK163" s="570"/>
      <c r="AL163" s="570"/>
      <c r="AM163" s="637"/>
      <c r="AN163" s="631"/>
      <c r="AO163" s="636"/>
      <c r="AP163" s="633"/>
    </row>
    <row r="164" spans="1:73" s="584" customFormat="1" ht="12.75" customHeight="1">
      <c r="A164" s="570"/>
      <c r="B164" s="570"/>
      <c r="C164" s="573" t="s">
        <v>1458</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1468</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1454</v>
      </c>
      <c r="AP166" s="510"/>
    </row>
    <row r="167" spans="1:73" s="584" customFormat="1" ht="12.75" customHeight="1">
      <c r="A167" s="570"/>
      <c r="B167" s="570"/>
      <c r="C167" s="2101" t="str">
        <f>Application!AA335</f>
        <v>CONAM Management Corporation</v>
      </c>
      <c r="D167" s="2101"/>
      <c r="E167" s="2101"/>
      <c r="F167" s="2101"/>
      <c r="G167" s="2101"/>
      <c r="H167" s="2101"/>
      <c r="I167" s="2101"/>
      <c r="J167" s="2101"/>
      <c r="K167" s="2101"/>
      <c r="L167" s="2101"/>
      <c r="M167" s="2101"/>
      <c r="N167" s="2101"/>
      <c r="O167" s="2101"/>
      <c r="P167" s="2101"/>
      <c r="Q167" s="2101"/>
      <c r="R167" s="2101"/>
      <c r="S167" s="2101"/>
      <c r="T167" s="2101"/>
      <c r="U167" s="2101"/>
      <c r="V167" s="2101"/>
      <c r="W167" s="2101"/>
      <c r="X167" s="2101"/>
      <c r="Y167" s="2101"/>
      <c r="Z167" s="2101"/>
      <c r="AA167" s="2101"/>
      <c r="AB167" s="2101"/>
      <c r="AC167" s="2101"/>
      <c r="AD167" s="2101"/>
      <c r="AE167" s="570"/>
      <c r="AF167" s="570"/>
      <c r="AG167" s="570"/>
      <c r="AH167" s="570"/>
      <c r="AI167" s="570"/>
      <c r="AJ167" s="570"/>
      <c r="AK167" s="570"/>
      <c r="AL167" s="570"/>
      <c r="AM167" s="637"/>
      <c r="AN167" s="631"/>
      <c r="AO167" s="510" t="s">
        <v>1465</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1467</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1469</v>
      </c>
      <c r="AJ169" s="1964">
        <f>IF($AF$161="N/A",VLOOKUP($C$159,$AO$159:$AP$162,2,FALSE),VLOOKUP($C$163,$AO$166:$AP$168,2,FALSE))</f>
        <v>3</v>
      </c>
      <c r="AK169" s="1964"/>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1470</v>
      </c>
      <c r="AK172" s="2094">
        <f>$AJ$155+$AJ$169</f>
        <v>10</v>
      </c>
      <c r="AL172" s="2095"/>
      <c r="AM172" s="2096"/>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1471</v>
      </c>
      <c r="AQ174" s="646">
        <v>0</v>
      </c>
    </row>
    <row r="175" spans="1:73" s="584" customFormat="1" ht="12.75" customHeight="1">
      <c r="A175" s="572" t="s">
        <v>1472</v>
      </c>
      <c r="B175" s="572" t="s">
        <v>1917</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38" t="s">
        <v>1425</v>
      </c>
      <c r="AF175" s="1938"/>
      <c r="AG175" s="1938"/>
      <c r="AH175" s="1938"/>
      <c r="AI175" s="1938"/>
      <c r="AJ175" s="1938"/>
      <c r="AK175" s="1938"/>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1473</v>
      </c>
      <c r="AQ176" s="584">
        <v>10</v>
      </c>
    </row>
    <row r="177" spans="1:45" s="584" customFormat="1" ht="12.75" customHeight="1">
      <c r="A177" s="570"/>
      <c r="B177" s="2097" t="s">
        <v>1066</v>
      </c>
      <c r="C177" s="2097"/>
      <c r="D177" s="2097"/>
      <c r="E177" s="2097"/>
      <c r="F177" s="2097"/>
      <c r="G177" s="2097"/>
      <c r="H177" s="2097"/>
      <c r="I177" s="2097"/>
      <c r="J177" s="2097"/>
      <c r="K177" s="2097"/>
      <c r="L177" s="2097"/>
      <c r="M177" s="2097"/>
      <c r="N177" s="2097"/>
      <c r="O177" s="2097"/>
      <c r="P177" s="2097"/>
      <c r="Q177" s="2097"/>
      <c r="R177" s="2097"/>
      <c r="S177" s="2097"/>
      <c r="T177" s="2097"/>
      <c r="U177" s="2097"/>
      <c r="V177" s="2097"/>
      <c r="W177" s="2097"/>
      <c r="X177" s="2097"/>
      <c r="Y177" s="2097"/>
      <c r="Z177" s="2097"/>
      <c r="AA177" s="2097"/>
      <c r="AB177" s="2097"/>
      <c r="AC177" s="2097"/>
      <c r="AD177" s="570"/>
      <c r="AE177" s="570"/>
      <c r="AF177" s="2005" t="s">
        <v>1474</v>
      </c>
      <c r="AG177" s="2005"/>
      <c r="AH177" s="2005"/>
      <c r="AI177" s="2005"/>
      <c r="AJ177" s="2005"/>
      <c r="AK177" s="2005"/>
      <c r="AL177" s="2005"/>
      <c r="AN177" s="631"/>
      <c r="AP177" s="584" t="s">
        <v>1068</v>
      </c>
      <c r="AQ177" s="584">
        <v>10</v>
      </c>
    </row>
    <row r="178" spans="1:45" s="584" customFormat="1" ht="12.75" customHeight="1">
      <c r="A178" s="570"/>
      <c r="B178" s="2098" t="s">
        <v>1916</v>
      </c>
      <c r="C178" s="2098"/>
      <c r="D178" s="2098"/>
      <c r="E178" s="2098"/>
      <c r="F178" s="2098"/>
      <c r="G178" s="2098"/>
      <c r="H178" s="2098"/>
      <c r="I178" s="2098"/>
      <c r="J178" s="2098"/>
      <c r="K178" s="2098"/>
      <c r="L178" s="2098"/>
      <c r="M178" s="2098"/>
      <c r="N178" s="2098"/>
      <c r="O178" s="2098"/>
      <c r="P178" s="2098"/>
      <c r="Q178" s="2098"/>
      <c r="R178" s="2098"/>
      <c r="S178" s="2098"/>
      <c r="T178" s="2099" t="s">
        <v>600</v>
      </c>
      <c r="U178" s="2099"/>
      <c r="V178" s="2099"/>
      <c r="W178" s="2099"/>
      <c r="X178" s="2099"/>
      <c r="Y178" s="2099"/>
      <c r="Z178" s="2099"/>
      <c r="AA178" s="2099"/>
      <c r="AB178" s="2099"/>
      <c r="AC178" s="2099"/>
      <c r="AD178" s="570"/>
      <c r="AE178" s="570"/>
      <c r="AF178" s="570"/>
      <c r="AG178" s="570"/>
      <c r="AH178" s="570"/>
      <c r="AI178" s="570"/>
      <c r="AJ178" s="577"/>
      <c r="AK178" s="629"/>
      <c r="AL178" s="629"/>
      <c r="AM178" s="629"/>
      <c r="AN178" s="631"/>
      <c r="AP178" s="584" t="s">
        <v>1475</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1478</v>
      </c>
      <c r="AQ179" s="584">
        <v>10</v>
      </c>
      <c r="AS179" s="584" t="s">
        <v>1476</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1477</v>
      </c>
      <c r="AK180" s="1932">
        <f>IF(AK78&gt;0,VLOOKUP($B$177,AP174:AQ180,2,FALSE),0)</f>
        <v>10</v>
      </c>
      <c r="AL180" s="1933"/>
      <c r="AM180" s="1934"/>
      <c r="AN180" s="569"/>
      <c r="AP180" s="584" t="s">
        <v>1480</v>
      </c>
      <c r="AQ180" s="584">
        <v>10</v>
      </c>
      <c r="AS180" s="584" t="s">
        <v>1479</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1481</v>
      </c>
      <c r="B183" s="572" t="s">
        <v>1482</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38" t="s">
        <v>1483</v>
      </c>
      <c r="AF183" s="1938"/>
      <c r="AG183" s="1938"/>
      <c r="AH183" s="1938"/>
      <c r="AI183" s="1938"/>
      <c r="AJ183" s="1938"/>
      <c r="AK183" s="1938"/>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1701</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1737</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268" t="s">
        <v>2784</v>
      </c>
      <c r="C188" s="1268"/>
      <c r="D188" s="1268"/>
      <c r="E188" s="1268"/>
      <c r="F188" s="1268"/>
      <c r="G188" s="1268"/>
      <c r="H188" s="1268"/>
      <c r="I188" s="1268"/>
      <c r="J188" s="1268"/>
      <c r="K188" s="1268"/>
      <c r="L188" s="1268"/>
      <c r="M188" s="1268"/>
      <c r="N188" s="1268"/>
      <c r="O188" s="1268"/>
      <c r="P188" s="1268"/>
      <c r="Q188" s="1268"/>
      <c r="R188" s="1268"/>
      <c r="S188" s="1268"/>
      <c r="T188" s="1268"/>
      <c r="U188" s="1268"/>
      <c r="V188" s="1268"/>
      <c r="W188" s="1268"/>
      <c r="X188" s="1268"/>
      <c r="Y188" s="1268"/>
      <c r="Z188" s="1268"/>
      <c r="AA188" s="1268"/>
      <c r="AB188" s="1268"/>
      <c r="AC188" s="880"/>
      <c r="AD188" s="2081">
        <v>2074732</v>
      </c>
      <c r="AE188" s="2081"/>
      <c r="AF188" s="2081"/>
      <c r="AG188" s="2081"/>
      <c r="AH188" s="2081"/>
      <c r="AI188" s="2081"/>
      <c r="AJ188" s="2081"/>
      <c r="AK188" s="644"/>
    </row>
    <row r="189" spans="1:45">
      <c r="A189" s="639"/>
      <c r="B189" s="1268" t="s">
        <v>2759</v>
      </c>
      <c r="C189" s="1268"/>
      <c r="D189" s="1268"/>
      <c r="E189" s="1268"/>
      <c r="F189" s="1268"/>
      <c r="G189" s="1268"/>
      <c r="H189" s="1268"/>
      <c r="I189" s="1268"/>
      <c r="J189" s="1268"/>
      <c r="K189" s="1268"/>
      <c r="L189" s="1268"/>
      <c r="M189" s="1268"/>
      <c r="N189" s="1268"/>
      <c r="O189" s="1268"/>
      <c r="P189" s="1268"/>
      <c r="Q189" s="1268"/>
      <c r="R189" s="1268"/>
      <c r="S189" s="1268"/>
      <c r="T189" s="1268"/>
      <c r="U189" s="1268"/>
      <c r="V189" s="1268"/>
      <c r="W189" s="1268"/>
      <c r="X189" s="1268"/>
      <c r="Y189" s="1268"/>
      <c r="Z189" s="1268"/>
      <c r="AA189" s="1268"/>
      <c r="AB189" s="1268"/>
      <c r="AC189" s="880"/>
      <c r="AD189" s="2081">
        <v>6811172</v>
      </c>
      <c r="AE189" s="2081"/>
      <c r="AF189" s="2081"/>
      <c r="AG189" s="2081"/>
      <c r="AH189" s="2081"/>
      <c r="AI189" s="2081"/>
      <c r="AJ189" s="2081"/>
      <c r="AK189" s="644"/>
    </row>
    <row r="190" spans="1:45">
      <c r="A190" s="639"/>
      <c r="B190" s="2091"/>
      <c r="C190" s="2091"/>
      <c r="D190" s="2091"/>
      <c r="E190" s="2091"/>
      <c r="F190" s="2091"/>
      <c r="G190" s="2091"/>
      <c r="H190" s="2091"/>
      <c r="I190" s="2091"/>
      <c r="J190" s="2091"/>
      <c r="K190" s="2091"/>
      <c r="L190" s="2091"/>
      <c r="M190" s="2091"/>
      <c r="N190" s="2091"/>
      <c r="O190" s="2091"/>
      <c r="P190" s="2091"/>
      <c r="Q190" s="2091"/>
      <c r="R190" s="2091"/>
      <c r="S190" s="2091"/>
      <c r="T190" s="2091"/>
      <c r="U190" s="2091"/>
      <c r="V190" s="2091"/>
      <c r="W190" s="2091"/>
      <c r="X190" s="2091"/>
      <c r="Y190" s="2091"/>
      <c r="Z190" s="2091"/>
      <c r="AA190" s="2091"/>
      <c r="AB190" s="2091"/>
      <c r="AC190" s="880"/>
      <c r="AD190" s="2081"/>
      <c r="AE190" s="2081"/>
      <c r="AF190" s="2081"/>
      <c r="AG190" s="2081"/>
      <c r="AH190" s="2081"/>
      <c r="AI190" s="2081"/>
      <c r="AJ190" s="2081"/>
      <c r="AK190" s="644"/>
    </row>
    <row r="191" spans="1:45">
      <c r="A191" s="639"/>
      <c r="B191" s="2091"/>
      <c r="C191" s="2091"/>
      <c r="D191" s="2091"/>
      <c r="E191" s="2091"/>
      <c r="F191" s="2091"/>
      <c r="G191" s="2091"/>
      <c r="H191" s="2091"/>
      <c r="I191" s="2091"/>
      <c r="J191" s="2091"/>
      <c r="K191" s="2091"/>
      <c r="L191" s="2091"/>
      <c r="M191" s="2091"/>
      <c r="N191" s="2091"/>
      <c r="O191" s="2091"/>
      <c r="P191" s="2091"/>
      <c r="Q191" s="2091"/>
      <c r="R191" s="2091"/>
      <c r="S191" s="2091"/>
      <c r="T191" s="2091"/>
      <c r="U191" s="2091"/>
      <c r="V191" s="2091"/>
      <c r="W191" s="2091"/>
      <c r="X191" s="2091"/>
      <c r="Y191" s="2091"/>
      <c r="Z191" s="2091"/>
      <c r="AA191" s="2091"/>
      <c r="AB191" s="2091"/>
      <c r="AC191" s="880"/>
      <c r="AD191" s="2081"/>
      <c r="AE191" s="2081"/>
      <c r="AF191" s="2081"/>
      <c r="AG191" s="2081"/>
      <c r="AH191" s="2081"/>
      <c r="AI191" s="2081"/>
      <c r="AJ191" s="2081"/>
      <c r="AK191" s="644"/>
    </row>
    <row r="192" spans="1:45">
      <c r="A192" s="639"/>
      <c r="B192" s="2091"/>
      <c r="C192" s="2091"/>
      <c r="D192" s="2091"/>
      <c r="E192" s="2091"/>
      <c r="F192" s="2091"/>
      <c r="G192" s="2091"/>
      <c r="H192" s="2091"/>
      <c r="I192" s="2091"/>
      <c r="J192" s="2091"/>
      <c r="K192" s="2091"/>
      <c r="L192" s="2091"/>
      <c r="M192" s="2091"/>
      <c r="N192" s="2091"/>
      <c r="O192" s="2091"/>
      <c r="P192" s="2091"/>
      <c r="Q192" s="2091"/>
      <c r="R192" s="2091"/>
      <c r="S192" s="2091"/>
      <c r="T192" s="2091"/>
      <c r="U192" s="2091"/>
      <c r="V192" s="2091"/>
      <c r="W192" s="2091"/>
      <c r="X192" s="2091"/>
      <c r="Y192" s="2091"/>
      <c r="Z192" s="2091"/>
      <c r="AA192" s="2091"/>
      <c r="AB192" s="2091"/>
      <c r="AC192" s="880"/>
      <c r="AD192" s="2081"/>
      <c r="AE192" s="2081"/>
      <c r="AF192" s="2081"/>
      <c r="AG192" s="2081"/>
      <c r="AH192" s="2081"/>
      <c r="AI192" s="2081"/>
      <c r="AJ192" s="2081"/>
      <c r="AK192" s="644"/>
    </row>
    <row r="193" spans="1:37">
      <c r="A193" s="639"/>
      <c r="B193" s="2091"/>
      <c r="C193" s="2091"/>
      <c r="D193" s="2091"/>
      <c r="E193" s="2091"/>
      <c r="F193" s="2091"/>
      <c r="G193" s="2091"/>
      <c r="H193" s="2091"/>
      <c r="I193" s="2091"/>
      <c r="J193" s="2091"/>
      <c r="K193" s="2091"/>
      <c r="L193" s="2091"/>
      <c r="M193" s="2091"/>
      <c r="N193" s="2091"/>
      <c r="O193" s="2091"/>
      <c r="P193" s="2091"/>
      <c r="Q193" s="2091"/>
      <c r="R193" s="2091"/>
      <c r="S193" s="2091"/>
      <c r="T193" s="2091"/>
      <c r="U193" s="2091"/>
      <c r="V193" s="2091"/>
      <c r="W193" s="2091"/>
      <c r="X193" s="2091"/>
      <c r="Y193" s="2091"/>
      <c r="Z193" s="2091"/>
      <c r="AA193" s="2091"/>
      <c r="AB193" s="2091"/>
      <c r="AC193" s="880"/>
      <c r="AD193" s="2081"/>
      <c r="AE193" s="2081"/>
      <c r="AF193" s="2081"/>
      <c r="AG193" s="2081"/>
      <c r="AH193" s="2081"/>
      <c r="AI193" s="2081"/>
      <c r="AJ193" s="2081"/>
      <c r="AK193" s="644"/>
    </row>
    <row r="194" spans="1:37">
      <c r="A194" s="639"/>
      <c r="B194" s="2091"/>
      <c r="C194" s="2091"/>
      <c r="D194" s="2091"/>
      <c r="E194" s="2091"/>
      <c r="F194" s="2091"/>
      <c r="G194" s="2091"/>
      <c r="H194" s="2091"/>
      <c r="I194" s="2091"/>
      <c r="J194" s="2091"/>
      <c r="K194" s="2091"/>
      <c r="L194" s="2091"/>
      <c r="M194" s="2091"/>
      <c r="N194" s="2091"/>
      <c r="O194" s="2091"/>
      <c r="P194" s="2091"/>
      <c r="Q194" s="2091"/>
      <c r="R194" s="2091"/>
      <c r="S194" s="2091"/>
      <c r="T194" s="2091"/>
      <c r="U194" s="2091"/>
      <c r="V194" s="2091"/>
      <c r="W194" s="2091"/>
      <c r="X194" s="2091"/>
      <c r="Y194" s="2091"/>
      <c r="Z194" s="2091"/>
      <c r="AA194" s="2091"/>
      <c r="AB194" s="2091"/>
      <c r="AC194" s="880"/>
      <c r="AD194" s="2081"/>
      <c r="AE194" s="2081"/>
      <c r="AF194" s="2081"/>
      <c r="AG194" s="2081"/>
      <c r="AH194" s="2081"/>
      <c r="AI194" s="2081"/>
      <c r="AJ194" s="2081"/>
      <c r="AK194" s="644"/>
    </row>
    <row r="195" spans="1:37">
      <c r="A195" s="639"/>
      <c r="B195" s="2091"/>
      <c r="C195" s="2091"/>
      <c r="D195" s="2091"/>
      <c r="E195" s="2091"/>
      <c r="F195" s="2091"/>
      <c r="G195" s="2091"/>
      <c r="H195" s="2091"/>
      <c r="I195" s="2091"/>
      <c r="J195" s="2091"/>
      <c r="K195" s="2091"/>
      <c r="L195" s="2091"/>
      <c r="M195" s="2091"/>
      <c r="N195" s="2091"/>
      <c r="O195" s="2091"/>
      <c r="P195" s="2091"/>
      <c r="Q195" s="2091"/>
      <c r="R195" s="2091"/>
      <c r="S195" s="2091"/>
      <c r="T195" s="2091"/>
      <c r="U195" s="2091"/>
      <c r="V195" s="2091"/>
      <c r="W195" s="2091"/>
      <c r="X195" s="2091"/>
      <c r="Y195" s="2091"/>
      <c r="Z195" s="2091"/>
      <c r="AA195" s="2091"/>
      <c r="AB195" s="2091"/>
      <c r="AC195" s="880"/>
      <c r="AD195" s="2081"/>
      <c r="AE195" s="2081"/>
      <c r="AF195" s="2081"/>
      <c r="AG195" s="2081"/>
      <c r="AH195" s="2081"/>
      <c r="AI195" s="2081"/>
      <c r="AJ195" s="2081"/>
      <c r="AK195" s="644"/>
    </row>
    <row r="196" spans="1:37">
      <c r="A196" s="639"/>
      <c r="B196" s="2091"/>
      <c r="C196" s="2091"/>
      <c r="D196" s="2091"/>
      <c r="E196" s="2091"/>
      <c r="F196" s="2091"/>
      <c r="G196" s="2091"/>
      <c r="H196" s="2091"/>
      <c r="I196" s="2091"/>
      <c r="J196" s="2091"/>
      <c r="K196" s="2091"/>
      <c r="L196" s="2091"/>
      <c r="M196" s="2091"/>
      <c r="N196" s="2091"/>
      <c r="O196" s="2091"/>
      <c r="P196" s="2091"/>
      <c r="Q196" s="2091"/>
      <c r="R196" s="2091"/>
      <c r="S196" s="2091"/>
      <c r="T196" s="2091"/>
      <c r="U196" s="2091"/>
      <c r="V196" s="2091"/>
      <c r="W196" s="2091"/>
      <c r="X196" s="2091"/>
      <c r="Y196" s="2091"/>
      <c r="Z196" s="2091"/>
      <c r="AA196" s="2091"/>
      <c r="AB196" s="2091"/>
      <c r="AC196" s="880"/>
      <c r="AD196" s="2081"/>
      <c r="AE196" s="2081"/>
      <c r="AF196" s="2081"/>
      <c r="AG196" s="2081"/>
      <c r="AH196" s="2081"/>
      <c r="AI196" s="2081"/>
      <c r="AJ196" s="2081"/>
      <c r="AK196" s="644"/>
    </row>
    <row r="197" spans="1:37">
      <c r="A197" s="639"/>
      <c r="B197" s="2091"/>
      <c r="C197" s="2091"/>
      <c r="D197" s="2091"/>
      <c r="E197" s="2091"/>
      <c r="F197" s="2091"/>
      <c r="G197" s="2091"/>
      <c r="H197" s="2091"/>
      <c r="I197" s="2091"/>
      <c r="J197" s="2091"/>
      <c r="K197" s="2091"/>
      <c r="L197" s="2091"/>
      <c r="M197" s="2091"/>
      <c r="N197" s="2091"/>
      <c r="O197" s="2091"/>
      <c r="P197" s="2091"/>
      <c r="Q197" s="2091"/>
      <c r="R197" s="2091"/>
      <c r="S197" s="2091"/>
      <c r="T197" s="2091"/>
      <c r="U197" s="2091"/>
      <c r="V197" s="2091"/>
      <c r="W197" s="2091"/>
      <c r="X197" s="2091"/>
      <c r="Y197" s="2091"/>
      <c r="Z197" s="2091"/>
      <c r="AA197" s="2091"/>
      <c r="AB197" s="2091"/>
      <c r="AC197" s="880"/>
      <c r="AD197" s="2081"/>
      <c r="AE197" s="2081"/>
      <c r="AF197" s="2081"/>
      <c r="AG197" s="2081"/>
      <c r="AH197" s="2081"/>
      <c r="AI197" s="2081"/>
      <c r="AJ197" s="2081"/>
      <c r="AK197" s="644"/>
    </row>
    <row r="198" spans="1:37">
      <c r="A198" s="639"/>
      <c r="B198" s="1952" t="s">
        <v>1739</v>
      </c>
      <c r="C198" s="1952"/>
      <c r="D198" s="1952"/>
      <c r="E198" s="1952"/>
      <c r="F198" s="1952"/>
      <c r="G198" s="1952"/>
      <c r="H198" s="1952"/>
      <c r="I198" s="1952"/>
      <c r="J198" s="1952"/>
      <c r="K198" s="1952"/>
      <c r="L198" s="1952"/>
      <c r="M198" s="1952"/>
      <c r="N198" s="1952"/>
      <c r="O198" s="1952"/>
      <c r="P198" s="1952"/>
      <c r="Q198" s="1952"/>
      <c r="R198" s="1952"/>
      <c r="S198" s="1952"/>
      <c r="T198" s="1952"/>
      <c r="U198" s="1952"/>
      <c r="V198" s="1952"/>
      <c r="W198" s="1952"/>
      <c r="X198" s="1952"/>
      <c r="Y198" s="1952"/>
      <c r="Z198" s="1952"/>
      <c r="AA198" s="1952"/>
      <c r="AB198" s="1952"/>
      <c r="AC198" s="570"/>
      <c r="AD198" s="2079">
        <f>AB249</f>
        <v>5430686.2453778535</v>
      </c>
      <c r="AE198" s="2079"/>
      <c r="AF198" s="2079"/>
      <c r="AG198" s="2079"/>
      <c r="AH198" s="2079"/>
      <c r="AI198" s="2079"/>
      <c r="AJ198" s="2079"/>
      <c r="AK198" s="644"/>
    </row>
    <row r="199" spans="1:37">
      <c r="A199" s="639"/>
      <c r="B199" s="1950" t="s">
        <v>1702</v>
      </c>
      <c r="C199" s="1950"/>
      <c r="D199" s="1950"/>
      <c r="E199" s="1950"/>
      <c r="F199" s="1950"/>
      <c r="G199" s="1950"/>
      <c r="H199" s="1950"/>
      <c r="I199" s="1950"/>
      <c r="J199" s="1950"/>
      <c r="K199" s="1950"/>
      <c r="L199" s="1950"/>
      <c r="M199" s="1950"/>
      <c r="N199" s="1950"/>
      <c r="O199" s="1950"/>
      <c r="P199" s="1950"/>
      <c r="Q199" s="1950"/>
      <c r="R199" s="1950"/>
      <c r="S199" s="1950"/>
      <c r="T199" s="1950"/>
      <c r="U199" s="1950"/>
      <c r="V199" s="1950"/>
      <c r="W199" s="1950"/>
      <c r="X199" s="1950"/>
      <c r="Y199" s="1950"/>
      <c r="Z199" s="1950"/>
      <c r="AA199" s="1950"/>
      <c r="AB199" s="1950"/>
      <c r="AC199" s="880"/>
      <c r="AD199" s="2080">
        <f>'Sources and Uses Budget'!B15</f>
        <v>0</v>
      </c>
      <c r="AE199" s="2080"/>
      <c r="AF199" s="2080"/>
      <c r="AG199" s="2080"/>
      <c r="AH199" s="2080"/>
      <c r="AI199" s="2080"/>
      <c r="AJ199" s="2080"/>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2085">
        <f>SUM(AD188:AJ198)-AD199</f>
        <v>14316590.245377854</v>
      </c>
      <c r="AE200" s="2085"/>
      <c r="AF200" s="2085"/>
      <c r="AG200" s="2085"/>
      <c r="AH200" s="2085"/>
      <c r="AI200" s="2085"/>
      <c r="AJ200" s="2085"/>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1707</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1738</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1709</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1710</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2338</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1711</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1712</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1749</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105" t="s">
        <v>1719</v>
      </c>
      <c r="J211" s="2105"/>
      <c r="K211" s="2105"/>
      <c r="L211" s="570"/>
      <c r="M211" s="570"/>
      <c r="N211" s="570"/>
      <c r="O211" s="570"/>
      <c r="P211" s="570"/>
      <c r="Q211" s="570"/>
      <c r="R211" s="570"/>
      <c r="S211" s="570"/>
      <c r="T211" s="1916" t="s">
        <v>1713</v>
      </c>
      <c r="U211" s="1916"/>
      <c r="V211" s="1916"/>
      <c r="W211" s="1916"/>
      <c r="X211" s="1916"/>
      <c r="Y211" s="1916"/>
      <c r="Z211" s="883"/>
      <c r="AA211" s="523"/>
      <c r="AB211" s="2102" t="s">
        <v>1714</v>
      </c>
      <c r="AC211" s="2102"/>
      <c r="AD211" s="2102"/>
      <c r="AE211" s="2102"/>
      <c r="AF211" s="2102"/>
      <c r="AG211" s="2102"/>
      <c r="AH211" s="861"/>
      <c r="AI211" s="861"/>
      <c r="AJ211" s="861"/>
      <c r="AK211" s="644"/>
    </row>
    <row r="212" spans="1:37">
      <c r="A212" s="639"/>
      <c r="B212" s="2103" t="s">
        <v>1699</v>
      </c>
      <c r="C212" s="2103"/>
      <c r="D212" s="2103"/>
      <c r="E212" s="2103"/>
      <c r="F212" s="2103"/>
      <c r="G212" s="2103"/>
      <c r="I212" s="2104" t="s">
        <v>1720</v>
      </c>
      <c r="J212" s="2104"/>
      <c r="K212" s="2104"/>
      <c r="L212" s="1043"/>
      <c r="N212" s="1951" t="s">
        <v>1715</v>
      </c>
      <c r="O212" s="1951"/>
      <c r="P212" s="1951"/>
      <c r="Q212" s="1951"/>
      <c r="R212" s="1951"/>
      <c r="T212" s="1951" t="s">
        <v>1716</v>
      </c>
      <c r="U212" s="1951"/>
      <c r="V212" s="1951"/>
      <c r="W212" s="1951"/>
      <c r="X212" s="1951"/>
      <c r="Y212" s="1951"/>
      <c r="Z212" s="884"/>
      <c r="AA212" s="523"/>
      <c r="AB212" s="1954" t="s">
        <v>1717</v>
      </c>
      <c r="AC212" s="1954"/>
      <c r="AD212" s="1954"/>
      <c r="AE212" s="1954"/>
      <c r="AF212" s="1954"/>
      <c r="AG212" s="1954"/>
      <c r="AH212" s="861"/>
      <c r="AI212" s="861"/>
      <c r="AJ212" s="861"/>
      <c r="AK212" s="644"/>
    </row>
    <row r="213" spans="1:37">
      <c r="A213" s="639"/>
      <c r="B213" s="1953" t="s">
        <v>325</v>
      </c>
      <c r="C213" s="1953"/>
      <c r="D213" s="1953"/>
      <c r="E213" s="1953"/>
      <c r="F213" s="1953"/>
      <c r="G213" s="1953"/>
      <c r="H213" s="886"/>
      <c r="I213" s="1921">
        <v>7</v>
      </c>
      <c r="J213" s="1921"/>
      <c r="K213" s="1921"/>
      <c r="L213" s="1043"/>
      <c r="N213" s="1918">
        <v>1061</v>
      </c>
      <c r="O213" s="1918"/>
      <c r="P213" s="1918"/>
      <c r="Q213" s="1918"/>
      <c r="R213" s="1918"/>
      <c r="T213" s="1917">
        <v>2062</v>
      </c>
      <c r="U213" s="1917"/>
      <c r="V213" s="1917"/>
      <c r="W213" s="1917"/>
      <c r="X213" s="1917"/>
      <c r="Y213" s="1917"/>
      <c r="Z213" s="885"/>
      <c r="AA213" s="885"/>
      <c r="AB213" s="1915">
        <f t="shared" ref="AB213:AB222" si="0">MAX(($T213-$N213)*$I213*12,0)</f>
        <v>84084</v>
      </c>
      <c r="AC213" s="1915"/>
      <c r="AD213" s="1915"/>
      <c r="AE213" s="1915"/>
      <c r="AF213" s="1915"/>
      <c r="AG213" s="1915"/>
      <c r="AH213" s="861"/>
      <c r="AI213" s="861"/>
      <c r="AJ213" s="861"/>
      <c r="AK213" s="644"/>
    </row>
    <row r="214" spans="1:37">
      <c r="A214" s="639"/>
      <c r="B214" s="1953" t="s">
        <v>325</v>
      </c>
      <c r="C214" s="1953"/>
      <c r="D214" s="1953"/>
      <c r="E214" s="1953"/>
      <c r="F214" s="1953"/>
      <c r="G214" s="1953"/>
      <c r="I214" s="1921">
        <v>2</v>
      </c>
      <c r="J214" s="1921"/>
      <c r="K214" s="1921"/>
      <c r="L214" s="1043"/>
      <c r="N214" s="1918">
        <v>1061</v>
      </c>
      <c r="O214" s="1918"/>
      <c r="P214" s="1918"/>
      <c r="Q214" s="1918"/>
      <c r="R214" s="1918"/>
      <c r="T214" s="1917">
        <v>2119</v>
      </c>
      <c r="U214" s="1917"/>
      <c r="V214" s="1917"/>
      <c r="W214" s="1917"/>
      <c r="X214" s="1917"/>
      <c r="Y214" s="1917"/>
      <c r="Z214" s="885"/>
      <c r="AA214" s="885"/>
      <c r="AB214" s="1915">
        <f t="shared" si="0"/>
        <v>25392</v>
      </c>
      <c r="AC214" s="1915"/>
      <c r="AD214" s="1915"/>
      <c r="AE214" s="1915"/>
      <c r="AF214" s="1915"/>
      <c r="AG214" s="1915"/>
      <c r="AH214" s="861"/>
      <c r="AI214" s="861"/>
      <c r="AJ214" s="861"/>
      <c r="AK214" s="644"/>
    </row>
    <row r="215" spans="1:37">
      <c r="A215" s="639"/>
      <c r="B215" s="1953" t="s">
        <v>2785</v>
      </c>
      <c r="C215" s="1953"/>
      <c r="D215" s="1953"/>
      <c r="E215" s="1953"/>
      <c r="F215" s="1953"/>
      <c r="G215" s="1953"/>
      <c r="I215" s="1921">
        <v>12</v>
      </c>
      <c r="J215" s="1921"/>
      <c r="K215" s="1921"/>
      <c r="L215" s="1043"/>
      <c r="N215" s="1918">
        <v>1136</v>
      </c>
      <c r="O215" s="1918"/>
      <c r="P215" s="1918"/>
      <c r="Q215" s="1918"/>
      <c r="R215" s="1918"/>
      <c r="T215" s="1917">
        <v>2248</v>
      </c>
      <c r="U215" s="1917"/>
      <c r="V215" s="1917"/>
      <c r="W215" s="1917"/>
      <c r="X215" s="1917"/>
      <c r="Y215" s="1917"/>
      <c r="Z215" s="885"/>
      <c r="AA215" s="885"/>
      <c r="AB215" s="1915">
        <f t="shared" si="0"/>
        <v>160128</v>
      </c>
      <c r="AC215" s="1915"/>
      <c r="AD215" s="1915"/>
      <c r="AE215" s="1915"/>
      <c r="AF215" s="1915"/>
      <c r="AG215" s="1915"/>
      <c r="AH215" s="861"/>
      <c r="AI215" s="861"/>
      <c r="AJ215" s="861"/>
      <c r="AK215" s="644"/>
    </row>
    <row r="216" spans="1:37">
      <c r="A216" s="639"/>
      <c r="B216" s="1953" t="s">
        <v>2785</v>
      </c>
      <c r="C216" s="1953"/>
      <c r="D216" s="1953"/>
      <c r="E216" s="1953"/>
      <c r="F216" s="1953"/>
      <c r="G216" s="1953"/>
      <c r="I216" s="1921">
        <v>2</v>
      </c>
      <c r="J216" s="1921"/>
      <c r="K216" s="1921"/>
      <c r="L216" s="1043"/>
      <c r="N216" s="1918">
        <v>1136</v>
      </c>
      <c r="O216" s="1918"/>
      <c r="P216" s="1918"/>
      <c r="Q216" s="1918"/>
      <c r="R216" s="1918"/>
      <c r="T216" s="1917">
        <v>2385</v>
      </c>
      <c r="U216" s="1917"/>
      <c r="V216" s="1917"/>
      <c r="W216" s="1917"/>
      <c r="X216" s="1917"/>
      <c r="Y216" s="1917"/>
      <c r="Z216" s="885"/>
      <c r="AA216" s="885"/>
      <c r="AB216" s="1915">
        <f t="shared" si="0"/>
        <v>29976</v>
      </c>
      <c r="AC216" s="1915"/>
      <c r="AD216" s="1915"/>
      <c r="AE216" s="1915"/>
      <c r="AF216" s="1915"/>
      <c r="AG216" s="1915"/>
      <c r="AH216" s="861"/>
      <c r="AI216" s="861"/>
      <c r="AJ216" s="861"/>
      <c r="AK216" s="644"/>
    </row>
    <row r="217" spans="1:37">
      <c r="A217" s="639"/>
      <c r="B217" s="1953" t="s">
        <v>2786</v>
      </c>
      <c r="C217" s="1953"/>
      <c r="D217" s="1953"/>
      <c r="E217" s="1953"/>
      <c r="F217" s="1953"/>
      <c r="G217" s="1953"/>
      <c r="I217" s="1921">
        <v>10</v>
      </c>
      <c r="J217" s="1921"/>
      <c r="K217" s="1921"/>
      <c r="L217" s="1050"/>
      <c r="N217" s="1918">
        <v>1364</v>
      </c>
      <c r="O217" s="1918"/>
      <c r="P217" s="1918"/>
      <c r="Q217" s="1918"/>
      <c r="R217" s="1918"/>
      <c r="T217" s="1917">
        <v>2833</v>
      </c>
      <c r="U217" s="1917"/>
      <c r="V217" s="1917"/>
      <c r="W217" s="1917"/>
      <c r="X217" s="1917"/>
      <c r="Y217" s="1917"/>
      <c r="Z217" s="885"/>
      <c r="AA217" s="885"/>
      <c r="AB217" s="1915">
        <f t="shared" si="0"/>
        <v>176280</v>
      </c>
      <c r="AC217" s="1915"/>
      <c r="AD217" s="1915"/>
      <c r="AE217" s="1915"/>
      <c r="AF217" s="1915"/>
      <c r="AG217" s="1915"/>
      <c r="AH217" s="861"/>
      <c r="AI217" s="861"/>
      <c r="AJ217" s="861"/>
      <c r="AK217" s="644"/>
    </row>
    <row r="218" spans="1:37">
      <c r="A218" s="639"/>
      <c r="B218" s="1953" t="s">
        <v>2787</v>
      </c>
      <c r="C218" s="1953"/>
      <c r="D218" s="1953"/>
      <c r="E218" s="1953"/>
      <c r="F218" s="1953"/>
      <c r="G218" s="1953"/>
      <c r="I218" s="1921">
        <v>4</v>
      </c>
      <c r="J218" s="1921"/>
      <c r="K218" s="1921"/>
      <c r="L218" s="1050"/>
      <c r="N218" s="1918">
        <v>1576</v>
      </c>
      <c r="O218" s="1918"/>
      <c r="P218" s="1918"/>
      <c r="Q218" s="1918"/>
      <c r="R218" s="1918"/>
      <c r="T218" s="1917">
        <v>3819</v>
      </c>
      <c r="U218" s="1917"/>
      <c r="V218" s="1917"/>
      <c r="W218" s="1917"/>
      <c r="X218" s="1917"/>
      <c r="Y218" s="1917"/>
      <c r="Z218" s="885"/>
      <c r="AA218" s="885"/>
      <c r="AB218" s="1915">
        <f t="shared" si="0"/>
        <v>107664</v>
      </c>
      <c r="AC218" s="1915"/>
      <c r="AD218" s="1915"/>
      <c r="AE218" s="1915"/>
      <c r="AF218" s="1915"/>
      <c r="AG218" s="1915"/>
      <c r="AH218" s="861"/>
      <c r="AI218" s="861"/>
      <c r="AJ218" s="861"/>
      <c r="AK218" s="644"/>
    </row>
    <row r="219" spans="1:37">
      <c r="A219" s="639"/>
      <c r="B219" s="1953" t="s">
        <v>1291</v>
      </c>
      <c r="C219" s="1953"/>
      <c r="D219" s="1953"/>
      <c r="E219" s="1953"/>
      <c r="F219" s="1953"/>
      <c r="G219" s="1953"/>
      <c r="I219" s="1921"/>
      <c r="J219" s="1921"/>
      <c r="K219" s="1921"/>
      <c r="L219" s="1050"/>
      <c r="N219" s="1918"/>
      <c r="O219" s="1918"/>
      <c r="P219" s="1918"/>
      <c r="Q219" s="1918"/>
      <c r="R219" s="1918"/>
      <c r="T219" s="1917"/>
      <c r="U219" s="1917"/>
      <c r="V219" s="1917"/>
      <c r="W219" s="1917"/>
      <c r="X219" s="1917"/>
      <c r="Y219" s="1917"/>
      <c r="Z219" s="885"/>
      <c r="AA219" s="885"/>
      <c r="AB219" s="1915">
        <f t="shared" si="0"/>
        <v>0</v>
      </c>
      <c r="AC219" s="1915"/>
      <c r="AD219" s="1915"/>
      <c r="AE219" s="1915"/>
      <c r="AF219" s="1915"/>
      <c r="AG219" s="1915"/>
      <c r="AH219" s="861"/>
      <c r="AI219" s="861"/>
      <c r="AJ219" s="861"/>
      <c r="AK219" s="644"/>
    </row>
    <row r="220" spans="1:37">
      <c r="A220" s="639"/>
      <c r="B220" s="1953" t="s">
        <v>1291</v>
      </c>
      <c r="C220" s="1953"/>
      <c r="D220" s="1953"/>
      <c r="E220" s="1953"/>
      <c r="F220" s="1953"/>
      <c r="G220" s="1953"/>
      <c r="I220" s="1921"/>
      <c r="J220" s="1921"/>
      <c r="K220" s="1921"/>
      <c r="L220" s="1050"/>
      <c r="N220" s="1918"/>
      <c r="O220" s="1918"/>
      <c r="P220" s="1918"/>
      <c r="Q220" s="1918"/>
      <c r="R220" s="1918"/>
      <c r="T220" s="1917"/>
      <c r="U220" s="1917"/>
      <c r="V220" s="1917"/>
      <c r="W220" s="1917"/>
      <c r="X220" s="1917"/>
      <c r="Y220" s="1917"/>
      <c r="Z220" s="885"/>
      <c r="AA220" s="885"/>
      <c r="AB220" s="1915">
        <f t="shared" si="0"/>
        <v>0</v>
      </c>
      <c r="AC220" s="1915"/>
      <c r="AD220" s="1915"/>
      <c r="AE220" s="1915"/>
      <c r="AF220" s="1915"/>
      <c r="AG220" s="1915"/>
      <c r="AH220" s="861"/>
      <c r="AI220" s="861"/>
      <c r="AJ220" s="861"/>
      <c r="AK220" s="644"/>
    </row>
    <row r="221" spans="1:37">
      <c r="A221" s="639"/>
      <c r="B221" s="1953" t="s">
        <v>1291</v>
      </c>
      <c r="C221" s="1953"/>
      <c r="D221" s="1953"/>
      <c r="E221" s="1953"/>
      <c r="F221" s="1953"/>
      <c r="G221" s="1953"/>
      <c r="I221" s="1921"/>
      <c r="J221" s="1921"/>
      <c r="K221" s="1921"/>
      <c r="L221" s="1050"/>
      <c r="N221" s="1918"/>
      <c r="O221" s="1918"/>
      <c r="P221" s="1918"/>
      <c r="Q221" s="1918"/>
      <c r="R221" s="1918"/>
      <c r="T221" s="1917"/>
      <c r="U221" s="1917"/>
      <c r="V221" s="1917"/>
      <c r="W221" s="1917"/>
      <c r="X221" s="1917"/>
      <c r="Y221" s="1917"/>
      <c r="Z221" s="885"/>
      <c r="AA221" s="885"/>
      <c r="AB221" s="1915">
        <f t="shared" si="0"/>
        <v>0</v>
      </c>
      <c r="AC221" s="1915"/>
      <c r="AD221" s="1915"/>
      <c r="AE221" s="1915"/>
      <c r="AF221" s="1915"/>
      <c r="AG221" s="1915"/>
      <c r="AH221" s="861"/>
      <c r="AI221" s="861"/>
      <c r="AJ221" s="861"/>
      <c r="AK221" s="644"/>
    </row>
    <row r="222" spans="1:37">
      <c r="A222" s="639"/>
      <c r="B222" s="1953" t="s">
        <v>1291</v>
      </c>
      <c r="C222" s="1953"/>
      <c r="D222" s="1953"/>
      <c r="E222" s="1953"/>
      <c r="F222" s="1953"/>
      <c r="G222" s="1953"/>
      <c r="I222" s="2106"/>
      <c r="J222" s="2106"/>
      <c r="K222" s="2106"/>
      <c r="L222" s="1050"/>
      <c r="N222" s="1918"/>
      <c r="O222" s="1918"/>
      <c r="P222" s="1918"/>
      <c r="Q222" s="1918"/>
      <c r="R222" s="1918"/>
      <c r="T222" s="1917"/>
      <c r="U222" s="1917"/>
      <c r="V222" s="1917"/>
      <c r="W222" s="1917"/>
      <c r="X222" s="1917"/>
      <c r="Y222" s="1917"/>
      <c r="Z222" s="885"/>
      <c r="AA222" s="885"/>
      <c r="AB222" s="1922">
        <f t="shared" si="0"/>
        <v>0</v>
      </c>
      <c r="AC222" s="1922"/>
      <c r="AD222" s="1922"/>
      <c r="AE222" s="1922"/>
      <c r="AF222" s="1922"/>
      <c r="AG222" s="1922"/>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1718</v>
      </c>
      <c r="AA223" s="887"/>
      <c r="AB223" s="1915">
        <f>SUM(AB213:AB222)</f>
        <v>583524</v>
      </c>
      <c r="AC223" s="1915"/>
      <c r="AD223" s="1915"/>
      <c r="AE223" s="1915"/>
      <c r="AF223" s="1915"/>
      <c r="AG223" s="1915"/>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1708</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1736</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1734</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1728</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55"/>
      <c r="AC229" s="1955"/>
      <c r="AD229" s="1955"/>
      <c r="AE229" s="1955"/>
      <c r="AF229" s="1955"/>
      <c r="AG229" s="1955"/>
      <c r="AH229" s="644"/>
      <c r="AI229" s="644"/>
      <c r="AJ229" s="644"/>
      <c r="AK229" s="644"/>
    </row>
    <row r="230" spans="1:37">
      <c r="A230" s="639"/>
      <c r="B230" s="871" t="s">
        <v>1733</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1735</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1729</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55"/>
      <c r="AC232" s="1955"/>
      <c r="AD232" s="1955"/>
      <c r="AE232" s="1955"/>
      <c r="AF232" s="1955"/>
      <c r="AG232" s="1955"/>
      <c r="AH232" s="644"/>
      <c r="AI232" s="644"/>
      <c r="AJ232" s="644"/>
      <c r="AK232" s="644"/>
    </row>
    <row r="233" spans="1:37">
      <c r="A233" s="639"/>
      <c r="B233" s="872" t="s">
        <v>1730</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914"/>
      <c r="AC233" s="1914"/>
      <c r="AD233" s="1914"/>
      <c r="AE233" s="1914"/>
      <c r="AF233" s="1914"/>
      <c r="AG233" s="1914"/>
      <c r="AH233" s="644"/>
      <c r="AI233" s="644"/>
      <c r="AJ233" s="644"/>
      <c r="AK233" s="644"/>
    </row>
    <row r="234" spans="1:37">
      <c r="A234" s="639"/>
      <c r="B234" s="872" t="s">
        <v>1731</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23">
        <f>IFERROR(AB232/AB233,0)</f>
        <v>0</v>
      </c>
      <c r="AC234" s="1923"/>
      <c r="AD234" s="1923"/>
      <c r="AE234" s="1923"/>
      <c r="AF234" s="1923"/>
      <c r="AG234" s="1923"/>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1732</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22">
        <f>MAX(AB229,AB234)</f>
        <v>0</v>
      </c>
      <c r="AC236" s="1922"/>
      <c r="AD236" s="1922"/>
      <c r="AE236" s="1922"/>
      <c r="AF236" s="1922"/>
      <c r="AG236" s="1922"/>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1721</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15">
        <f>AB223+AB236</f>
        <v>583524</v>
      </c>
      <c r="AC239" s="1915"/>
      <c r="AD239" s="1915"/>
      <c r="AE239" s="1915"/>
      <c r="AF239" s="1915"/>
      <c r="AG239" s="1915"/>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89">
        <v>0.05</v>
      </c>
      <c r="AC240" s="2089"/>
      <c r="AD240" s="2089"/>
      <c r="AE240" s="2089"/>
      <c r="AF240" s="2089"/>
      <c r="AG240" s="2089"/>
      <c r="AH240" s="644"/>
      <c r="AI240" s="644"/>
      <c r="AJ240" s="644"/>
      <c r="AK240" s="644"/>
    </row>
    <row r="241" spans="1:37">
      <c r="A241" s="639"/>
      <c r="B241" s="510" t="s">
        <v>1722</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90">
        <f>AB239-(AB239*AB240)</f>
        <v>554347.80000000005</v>
      </c>
      <c r="AC241" s="2090"/>
      <c r="AD241" s="2090"/>
      <c r="AE241" s="2090"/>
      <c r="AF241" s="2090"/>
      <c r="AG241" s="2090"/>
      <c r="AH241" s="644"/>
      <c r="AI241" s="644"/>
      <c r="AJ241" s="644"/>
      <c r="AK241" s="644"/>
    </row>
    <row r="242" spans="1:37">
      <c r="A242" s="639"/>
      <c r="B242" s="510" t="s">
        <v>1723</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1724</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15">
        <f>AB241/AB247</f>
        <v>482041.56521739135</v>
      </c>
      <c r="AC243" s="1915"/>
      <c r="AD243" s="1915"/>
      <c r="AE243" s="1915"/>
      <c r="AF243" s="1915"/>
      <c r="AG243" s="1915"/>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1725</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102">
        <v>15</v>
      </c>
      <c r="AC245" s="2102"/>
      <c r="AD245" s="2102"/>
      <c r="AE245" s="2102"/>
      <c r="AF245" s="2102"/>
      <c r="AG245" s="2102"/>
      <c r="AH245" s="644"/>
      <c r="AI245" s="644"/>
      <c r="AJ245" s="644"/>
      <c r="AK245" s="644"/>
    </row>
    <row r="246" spans="1:37">
      <c r="A246" s="639"/>
      <c r="B246" s="510" t="s">
        <v>1726</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92">
        <v>0.04</v>
      </c>
      <c r="AC246" s="2092"/>
      <c r="AD246" s="2092"/>
      <c r="AE246" s="2092"/>
      <c r="AF246" s="2092"/>
      <c r="AG246" s="2092"/>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93">
        <v>1.1499999999999999</v>
      </c>
      <c r="AC247" s="2093"/>
      <c r="AD247" s="2093"/>
      <c r="AE247" s="2093"/>
      <c r="AF247" s="2093"/>
      <c r="AG247" s="2093"/>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1727</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82">
        <f>PV(AB246/12,AB245*12,-AB243/12, ,0)</f>
        <v>5430686.2453778535</v>
      </c>
      <c r="AC249" s="2083"/>
      <c r="AD249" s="2083"/>
      <c r="AE249" s="2083"/>
      <c r="AF249" s="2083"/>
      <c r="AG249" s="2084"/>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1703</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1706</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1705</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1704</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86">
        <f>IFERROR(('Sources and Uses Budget'!D105/'Sources and Uses Budget'!B105),0)</f>
        <v>0</v>
      </c>
      <c r="AC255" s="2087"/>
      <c r="AD255" s="2087"/>
      <c r="AE255" s="2087"/>
      <c r="AF255" s="2087"/>
      <c r="AG255" s="2088"/>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1484</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29">
        <f>AD200*(1-AB255)</f>
        <v>14316590.245377854</v>
      </c>
      <c r="AH257" s="1929"/>
      <c r="AI257" s="1929"/>
      <c r="AJ257" s="1929"/>
      <c r="AK257" s="1929"/>
    </row>
    <row r="258" spans="1:52">
      <c r="A258" s="656"/>
      <c r="B258" s="659" t="s">
        <v>1485</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29">
        <f>'Sources and Uses Budget'!C105</f>
        <v>108545328</v>
      </c>
      <c r="AH258" s="1929"/>
      <c r="AI258" s="1929"/>
      <c r="AJ258" s="1929"/>
      <c r="AK258" s="1929"/>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78">
        <f>ROUNDDOWN(IF(AND(C281="Yes",AK78=10),((AG257*2)/AG258),AG257/AG258),2)</f>
        <v>0.26</v>
      </c>
      <c r="AH259" s="2078"/>
      <c r="AI259" s="2078"/>
      <c r="AJ259" s="2078"/>
      <c r="AK259" s="2078"/>
    </row>
    <row r="260" spans="1:52">
      <c r="A260" s="656"/>
      <c r="B260" s="1013" t="s">
        <v>1931</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1486</v>
      </c>
      <c r="AK262" s="2067">
        <f>IFERROR(IF(AG259=0,0,IF((AG259*100)&gt;8,8,(AG259*100))),0)</f>
        <v>8</v>
      </c>
      <c r="AL262" s="2067"/>
      <c r="AM262" s="2068"/>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1487</v>
      </c>
      <c r="B265" s="572" t="s">
        <v>1488</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1425</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47" t="s">
        <v>554</v>
      </c>
      <c r="D267" s="1947"/>
      <c r="E267" s="581"/>
      <c r="F267" s="1898" t="s">
        <v>2339</v>
      </c>
      <c r="G267" s="1899"/>
      <c r="H267" s="1899"/>
      <c r="I267" s="1899"/>
      <c r="J267" s="1899"/>
      <c r="K267" s="1899"/>
      <c r="L267" s="1899"/>
      <c r="M267" s="1899"/>
      <c r="N267" s="1899"/>
      <c r="O267" s="1899"/>
      <c r="P267" s="1899"/>
      <c r="Q267" s="1899"/>
      <c r="R267" s="1899"/>
      <c r="S267" s="1899"/>
      <c r="T267" s="1899"/>
      <c r="U267" s="1899"/>
      <c r="V267" s="1899"/>
      <c r="W267" s="1899"/>
      <c r="X267" s="1899"/>
      <c r="Y267" s="1899"/>
      <c r="Z267" s="1899"/>
      <c r="AA267" s="1899"/>
      <c r="AB267" s="1899"/>
      <c r="AC267" s="1899"/>
      <c r="AD267" s="1900"/>
      <c r="AE267" s="584"/>
      <c r="AF267" s="669"/>
      <c r="AG267" s="2076" t="s">
        <v>1474</v>
      </c>
      <c r="AH267" s="2076"/>
      <c r="AI267" s="2076"/>
      <c r="AJ267" s="2076"/>
      <c r="AK267" s="584"/>
      <c r="AL267" s="584"/>
      <c r="AM267" s="584"/>
      <c r="AO267" s="584"/>
    </row>
    <row r="268" spans="1:52" ht="13.7" customHeight="1">
      <c r="A268" s="584"/>
      <c r="B268" s="630"/>
      <c r="C268" s="670"/>
      <c r="D268" s="584"/>
      <c r="E268" s="581"/>
      <c r="F268" s="1901"/>
      <c r="G268" s="1902"/>
      <c r="H268" s="1902"/>
      <c r="I268" s="1902"/>
      <c r="J268" s="1902"/>
      <c r="K268" s="1902"/>
      <c r="L268" s="1902"/>
      <c r="M268" s="1902"/>
      <c r="N268" s="1902"/>
      <c r="O268" s="1902"/>
      <c r="P268" s="1902"/>
      <c r="Q268" s="1902"/>
      <c r="R268" s="1902"/>
      <c r="S268" s="1902"/>
      <c r="T268" s="1902"/>
      <c r="U268" s="1902"/>
      <c r="V268" s="1902"/>
      <c r="W268" s="1902"/>
      <c r="X268" s="1902"/>
      <c r="Y268" s="1902"/>
      <c r="Z268" s="1902"/>
      <c r="AA268" s="1902"/>
      <c r="AB268" s="1902"/>
      <c r="AC268" s="1902"/>
      <c r="AD268" s="1903"/>
      <c r="AE268" s="584"/>
      <c r="AF268" s="669"/>
      <c r="AG268" s="669"/>
      <c r="AH268" s="669"/>
      <c r="AI268" s="669"/>
      <c r="AJ268" s="584"/>
      <c r="AK268" s="584"/>
      <c r="AL268" s="584"/>
      <c r="AM268" s="584"/>
      <c r="AO268" s="584"/>
    </row>
    <row r="269" spans="1:52">
      <c r="A269" s="584"/>
      <c r="B269" s="630"/>
      <c r="C269" s="670"/>
      <c r="D269" s="584"/>
      <c r="E269" s="581"/>
      <c r="F269" s="1901"/>
      <c r="G269" s="1902"/>
      <c r="H269" s="1902"/>
      <c r="I269" s="1902"/>
      <c r="J269" s="1902"/>
      <c r="K269" s="1902"/>
      <c r="L269" s="1902"/>
      <c r="M269" s="1902"/>
      <c r="N269" s="1902"/>
      <c r="O269" s="1902"/>
      <c r="P269" s="1902"/>
      <c r="Q269" s="1902"/>
      <c r="R269" s="1902"/>
      <c r="S269" s="1902"/>
      <c r="T269" s="1902"/>
      <c r="U269" s="1902"/>
      <c r="V269" s="1902"/>
      <c r="W269" s="1902"/>
      <c r="X269" s="1902"/>
      <c r="Y269" s="1902"/>
      <c r="Z269" s="1902"/>
      <c r="AA269" s="1902"/>
      <c r="AB269" s="1902"/>
      <c r="AC269" s="1902"/>
      <c r="AD269" s="1903"/>
      <c r="AE269" s="584"/>
      <c r="AF269" s="669"/>
      <c r="AG269" s="669"/>
      <c r="AH269" s="669"/>
      <c r="AI269" s="669"/>
      <c r="AJ269" s="584"/>
      <c r="AK269" s="584"/>
      <c r="AL269" s="584"/>
      <c r="AM269" s="584"/>
      <c r="AO269" s="584"/>
      <c r="AP269" s="671"/>
    </row>
    <row r="270" spans="1:52">
      <c r="A270" s="584"/>
      <c r="B270" s="630"/>
      <c r="C270" s="670"/>
      <c r="D270" s="584"/>
      <c r="E270" s="581"/>
      <c r="F270" s="1901"/>
      <c r="G270" s="1902"/>
      <c r="H270" s="1902"/>
      <c r="I270" s="1902"/>
      <c r="J270" s="1902"/>
      <c r="K270" s="1902"/>
      <c r="L270" s="1902"/>
      <c r="M270" s="1902"/>
      <c r="N270" s="1902"/>
      <c r="O270" s="1902"/>
      <c r="P270" s="1902"/>
      <c r="Q270" s="1902"/>
      <c r="R270" s="1902"/>
      <c r="S270" s="1902"/>
      <c r="T270" s="1902"/>
      <c r="U270" s="1902"/>
      <c r="V270" s="1902"/>
      <c r="W270" s="1902"/>
      <c r="X270" s="1902"/>
      <c r="Y270" s="1902"/>
      <c r="Z270" s="1902"/>
      <c r="AA270" s="1902"/>
      <c r="AB270" s="1902"/>
      <c r="AC270" s="1902"/>
      <c r="AD270" s="1903"/>
      <c r="AE270" s="584"/>
      <c r="AF270" s="669"/>
      <c r="AG270" s="669"/>
      <c r="AH270" s="669"/>
      <c r="AI270" s="669"/>
      <c r="AJ270" s="584"/>
      <c r="AK270" s="584"/>
      <c r="AL270" s="584"/>
      <c r="AM270" s="584"/>
      <c r="AO270" s="584"/>
      <c r="AP270" s="671"/>
    </row>
    <row r="271" spans="1:52" ht="13.7" customHeight="1">
      <c r="A271" s="584"/>
      <c r="B271" s="630"/>
      <c r="C271" s="2077"/>
      <c r="D271" s="2077"/>
      <c r="E271" s="581"/>
      <c r="F271" s="1904"/>
      <c r="G271" s="1905"/>
      <c r="H271" s="1905"/>
      <c r="I271" s="1905"/>
      <c r="J271" s="1905"/>
      <c r="K271" s="1905"/>
      <c r="L271" s="1905"/>
      <c r="M271" s="1905"/>
      <c r="N271" s="1905"/>
      <c r="O271" s="1905"/>
      <c r="P271" s="1905"/>
      <c r="Q271" s="1905"/>
      <c r="R271" s="1905"/>
      <c r="S271" s="1905"/>
      <c r="T271" s="1905"/>
      <c r="U271" s="1905"/>
      <c r="V271" s="1905"/>
      <c r="W271" s="1905"/>
      <c r="X271" s="1905"/>
      <c r="Y271" s="1905"/>
      <c r="Z271" s="1905"/>
      <c r="AA271" s="1905"/>
      <c r="AB271" s="1905"/>
      <c r="AC271" s="1905"/>
      <c r="AD271" s="1906"/>
      <c r="AE271" s="584"/>
      <c r="AF271" s="669"/>
      <c r="AG271" s="2076"/>
      <c r="AH271" s="2076"/>
      <c r="AI271" s="2076"/>
      <c r="AJ271" s="2076"/>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1490</v>
      </c>
      <c r="AK274" s="2067">
        <f>IF($C$267="yes",10,0)</f>
        <v>10</v>
      </c>
      <c r="AL274" s="2067"/>
      <c r="AM274" s="2068"/>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1491</v>
      </c>
      <c r="B277" s="572" t="s">
        <v>2045</v>
      </c>
      <c r="AH277" s="625" t="s">
        <v>1425</v>
      </c>
    </row>
    <row r="278" spans="1:49" ht="15" customHeight="1">
      <c r="B278" s="573"/>
    </row>
    <row r="279" spans="1:49" ht="15" customHeight="1">
      <c r="B279" s="573" t="s">
        <v>1918</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58" t="s">
        <v>1493</v>
      </c>
      <c r="B281" s="1658"/>
      <c r="C281" s="2041" t="s">
        <v>554</v>
      </c>
      <c r="D281" s="1947"/>
      <c r="E281" s="581"/>
      <c r="F281" s="2069" t="s">
        <v>1494</v>
      </c>
      <c r="G281" s="2070"/>
      <c r="H281" s="2070"/>
      <c r="I281" s="2070"/>
      <c r="J281" s="2070"/>
      <c r="K281" s="2070"/>
      <c r="L281" s="2070"/>
      <c r="M281" s="2070"/>
      <c r="N281" s="2070"/>
      <c r="O281" s="2070"/>
      <c r="P281" s="2070"/>
      <c r="Q281" s="2070"/>
      <c r="R281" s="2070"/>
      <c r="S281" s="2070"/>
      <c r="T281" s="2070"/>
      <c r="U281" s="2070"/>
      <c r="V281" s="2070"/>
      <c r="W281" s="2070"/>
      <c r="X281" s="2070"/>
      <c r="Y281" s="2070"/>
      <c r="Z281" s="2070"/>
      <c r="AA281" s="2070"/>
      <c r="AB281" s="2070"/>
      <c r="AC281" s="2070"/>
      <c r="AD281" s="2071"/>
      <c r="AE281" s="676"/>
      <c r="AF281" s="584"/>
      <c r="AG281" s="2072" t="s">
        <v>2332</v>
      </c>
      <c r="AH281" s="2072"/>
      <c r="AI281" s="2072"/>
      <c r="AJ281" s="2072"/>
      <c r="AK281" s="2072"/>
      <c r="AL281" s="584"/>
      <c r="AM281" s="584"/>
      <c r="AN281" s="73"/>
      <c r="AO281" s="14"/>
      <c r="AP281" s="30"/>
      <c r="AS281" s="604"/>
      <c r="AT281" s="604"/>
      <c r="AU281" s="604"/>
      <c r="AV281" s="32"/>
      <c r="AW281" s="32"/>
    </row>
    <row r="282" spans="1:49">
      <c r="A282" s="674"/>
      <c r="B282" s="630"/>
      <c r="F282" s="1924"/>
      <c r="G282" s="1925"/>
      <c r="H282" s="1925"/>
      <c r="I282" s="1925"/>
      <c r="J282" s="1925"/>
      <c r="K282" s="1925"/>
      <c r="L282" s="1925"/>
      <c r="M282" s="1925"/>
      <c r="N282" s="1925"/>
      <c r="O282" s="1925"/>
      <c r="P282" s="1925"/>
      <c r="Q282" s="1925"/>
      <c r="R282" s="1925"/>
      <c r="S282" s="1925"/>
      <c r="T282" s="1925"/>
      <c r="U282" s="1925"/>
      <c r="V282" s="1925"/>
      <c r="W282" s="1925"/>
      <c r="X282" s="1925"/>
      <c r="Y282" s="1925"/>
      <c r="Z282" s="1925"/>
      <c r="AA282" s="1925"/>
      <c r="AB282" s="1925"/>
      <c r="AC282" s="1925"/>
      <c r="AD282" s="1926"/>
      <c r="AE282" s="676"/>
      <c r="AF282" s="585"/>
      <c r="AH282" s="585"/>
      <c r="AI282" s="585"/>
      <c r="AJ282" s="584"/>
      <c r="AK282" s="584"/>
      <c r="AL282" s="584"/>
      <c r="AM282" s="584"/>
      <c r="AN282" s="73"/>
      <c r="AO282" s="14"/>
      <c r="AP282" s="584">
        <f>IF($C$281="yes",10,IF(C281="50% Met",9,0))</f>
        <v>10</v>
      </c>
      <c r="AS282" s="604"/>
      <c r="AT282" s="604"/>
      <c r="AU282" s="604"/>
      <c r="AV282" s="32"/>
      <c r="AW282" s="32"/>
    </row>
    <row r="283" spans="1:49" ht="15" customHeight="1">
      <c r="A283" s="674"/>
      <c r="B283" s="630"/>
      <c r="F283" s="1924"/>
      <c r="G283" s="1925"/>
      <c r="H283" s="1925"/>
      <c r="I283" s="1925"/>
      <c r="J283" s="1925"/>
      <c r="K283" s="1925"/>
      <c r="L283" s="1925"/>
      <c r="M283" s="1925"/>
      <c r="N283" s="1925"/>
      <c r="O283" s="1925"/>
      <c r="P283" s="1925"/>
      <c r="Q283" s="1925"/>
      <c r="R283" s="1925"/>
      <c r="S283" s="1925"/>
      <c r="T283" s="1925"/>
      <c r="U283" s="1925"/>
      <c r="V283" s="1925"/>
      <c r="W283" s="1925"/>
      <c r="X283" s="1925"/>
      <c r="Y283" s="1925"/>
      <c r="Z283" s="1925"/>
      <c r="AA283" s="1925"/>
      <c r="AB283" s="1925"/>
      <c r="AC283" s="1925"/>
      <c r="AD283" s="1926"/>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24" t="s">
        <v>2340</v>
      </c>
      <c r="G284" s="1925"/>
      <c r="H284" s="1925"/>
      <c r="I284" s="1925"/>
      <c r="J284" s="1925"/>
      <c r="K284" s="1925"/>
      <c r="L284" s="1925"/>
      <c r="M284" s="1925"/>
      <c r="N284" s="1925"/>
      <c r="O284" s="1925"/>
      <c r="P284" s="1925"/>
      <c r="Q284" s="1925"/>
      <c r="R284" s="1925"/>
      <c r="S284" s="1925"/>
      <c r="T284" s="1925"/>
      <c r="U284" s="1925"/>
      <c r="V284" s="1925"/>
      <c r="W284" s="1925"/>
      <c r="X284" s="1925"/>
      <c r="Y284" s="1925"/>
      <c r="Z284" s="1925"/>
      <c r="AA284" s="1925"/>
      <c r="AB284" s="1925"/>
      <c r="AC284" s="1925"/>
      <c r="AD284" s="1926"/>
      <c r="AE284" s="676"/>
      <c r="AF284" s="585"/>
      <c r="AH284" s="585"/>
      <c r="AI284" s="585"/>
      <c r="AJ284" s="584"/>
      <c r="AK284" s="584"/>
      <c r="AL284" s="584"/>
      <c r="AM284" s="584"/>
      <c r="AN284" s="73"/>
      <c r="AO284" s="14"/>
      <c r="AP284" s="645">
        <f>MAX(AP282,AP283)</f>
        <v>10</v>
      </c>
      <c r="AQ284" s="608" t="s">
        <v>1427</v>
      </c>
      <c r="AS284" s="604"/>
      <c r="AT284" s="604"/>
      <c r="AU284" s="604"/>
      <c r="AV284" s="32"/>
      <c r="AW284" s="32"/>
    </row>
    <row r="285" spans="1:49">
      <c r="A285" s="674"/>
      <c r="B285" s="630"/>
      <c r="F285" s="1924"/>
      <c r="G285" s="1925"/>
      <c r="H285" s="1925"/>
      <c r="I285" s="1925"/>
      <c r="J285" s="1925"/>
      <c r="K285" s="1925"/>
      <c r="L285" s="1925"/>
      <c r="M285" s="1925"/>
      <c r="N285" s="1925"/>
      <c r="O285" s="1925"/>
      <c r="P285" s="1925"/>
      <c r="Q285" s="1925"/>
      <c r="R285" s="1925"/>
      <c r="S285" s="1925"/>
      <c r="T285" s="1925"/>
      <c r="U285" s="1925"/>
      <c r="V285" s="1925"/>
      <c r="W285" s="1925"/>
      <c r="X285" s="1925"/>
      <c r="Y285" s="1925"/>
      <c r="Z285" s="1925"/>
      <c r="AA285" s="1925"/>
      <c r="AB285" s="1925"/>
      <c r="AC285" s="1925"/>
      <c r="AD285" s="1926"/>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24" t="s">
        <v>1495</v>
      </c>
      <c r="G286" s="1925"/>
      <c r="H286" s="1925"/>
      <c r="I286" s="1925"/>
      <c r="J286" s="1925"/>
      <c r="K286" s="1925"/>
      <c r="L286" s="1925"/>
      <c r="M286" s="1925"/>
      <c r="N286" s="1925"/>
      <c r="O286" s="1925"/>
      <c r="P286" s="1925"/>
      <c r="Q286" s="1925"/>
      <c r="R286" s="1925"/>
      <c r="S286" s="1925"/>
      <c r="T286" s="1925"/>
      <c r="U286" s="1925"/>
      <c r="V286" s="1925"/>
      <c r="W286" s="1925"/>
      <c r="X286" s="1925"/>
      <c r="Y286" s="1925"/>
      <c r="Z286" s="1925"/>
      <c r="AA286" s="1925"/>
      <c r="AB286" s="1925"/>
      <c r="AC286" s="1925"/>
      <c r="AD286" s="1926"/>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24"/>
      <c r="G287" s="1925"/>
      <c r="H287" s="1925"/>
      <c r="I287" s="1925"/>
      <c r="J287" s="1925"/>
      <c r="K287" s="1925"/>
      <c r="L287" s="1925"/>
      <c r="M287" s="1925"/>
      <c r="N287" s="1925"/>
      <c r="O287" s="1925"/>
      <c r="P287" s="1925"/>
      <c r="Q287" s="1925"/>
      <c r="R287" s="1925"/>
      <c r="S287" s="1925"/>
      <c r="T287" s="1925"/>
      <c r="U287" s="1925"/>
      <c r="V287" s="1925"/>
      <c r="W287" s="1925"/>
      <c r="X287" s="1925"/>
      <c r="Y287" s="1925"/>
      <c r="Z287" s="1925"/>
      <c r="AA287" s="1925"/>
      <c r="AB287" s="1925"/>
      <c r="AC287" s="1925"/>
      <c r="AD287" s="1926"/>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24" t="s">
        <v>1496</v>
      </c>
      <c r="G288" s="1925"/>
      <c r="H288" s="1925"/>
      <c r="I288" s="1925"/>
      <c r="J288" s="1925"/>
      <c r="K288" s="1925"/>
      <c r="L288" s="1925"/>
      <c r="M288" s="1925"/>
      <c r="N288" s="1925"/>
      <c r="O288" s="1925"/>
      <c r="P288" s="1925"/>
      <c r="Q288" s="1925"/>
      <c r="R288" s="1925"/>
      <c r="S288" s="1925"/>
      <c r="T288" s="1925"/>
      <c r="U288" s="1925"/>
      <c r="V288" s="1925"/>
      <c r="W288" s="1925"/>
      <c r="X288" s="1925"/>
      <c r="Y288" s="1925"/>
      <c r="Z288" s="1925"/>
      <c r="AA288" s="1925"/>
      <c r="AB288" s="1925"/>
      <c r="AC288" s="1925"/>
      <c r="AD288" s="1926"/>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27"/>
      <c r="G289" s="1928"/>
      <c r="H289" s="1928"/>
      <c r="I289" s="1928"/>
      <c r="J289" s="1928"/>
      <c r="K289" s="1928"/>
      <c r="L289" s="1928"/>
      <c r="M289" s="1928"/>
      <c r="N289" s="1928"/>
      <c r="O289" s="1928"/>
      <c r="P289" s="1928"/>
      <c r="Q289" s="1928"/>
      <c r="R289" s="1928"/>
      <c r="S289" s="1928"/>
      <c r="T289" s="1928"/>
      <c r="U289" s="1928"/>
      <c r="V289" s="1928"/>
      <c r="W289" s="1928"/>
      <c r="X289" s="1928"/>
      <c r="Y289" s="1928"/>
      <c r="Z289" s="1928"/>
      <c r="AA289" s="1928"/>
      <c r="AB289" s="1928"/>
      <c r="AC289" s="1928"/>
      <c r="AD289" s="2066"/>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58" t="s">
        <v>1497</v>
      </c>
      <c r="B291" s="1658"/>
      <c r="C291" s="1947" t="s">
        <v>600</v>
      </c>
      <c r="D291" s="1947"/>
      <c r="E291" s="581"/>
      <c r="F291" s="678" t="s">
        <v>2333</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1499</v>
      </c>
      <c r="AH291" s="585"/>
      <c r="AI291" s="585"/>
      <c r="AJ291" s="584"/>
      <c r="AK291" s="584"/>
      <c r="AL291" s="584"/>
      <c r="AM291" s="584"/>
      <c r="AN291" s="681"/>
      <c r="AO291" s="14"/>
    </row>
    <row r="292" spans="1:49">
      <c r="A292" s="584"/>
      <c r="B292" s="585"/>
      <c r="C292" s="584"/>
      <c r="D292" s="585"/>
      <c r="E292" s="584"/>
      <c r="F292" s="2051" t="s">
        <v>2334</v>
      </c>
      <c r="G292" s="2052"/>
      <c r="H292" s="2052"/>
      <c r="I292" s="2052"/>
      <c r="J292" s="2052"/>
      <c r="K292" s="2052"/>
      <c r="L292" s="2052"/>
      <c r="M292" s="2052"/>
      <c r="N292" s="2052"/>
      <c r="O292" s="2052"/>
      <c r="P292" s="2052"/>
      <c r="Q292" s="2052"/>
      <c r="R292" s="2052"/>
      <c r="S292" s="2052"/>
      <c r="T292" s="2052"/>
      <c r="U292" s="2052"/>
      <c r="V292" s="2052"/>
      <c r="W292" s="2052"/>
      <c r="X292" s="2052"/>
      <c r="Y292" s="2052"/>
      <c r="Z292" s="2052"/>
      <c r="AA292" s="2052"/>
      <c r="AB292" s="2052"/>
      <c r="AC292" s="2052"/>
      <c r="AD292" s="2053"/>
      <c r="AE292" s="585"/>
      <c r="AF292" s="585"/>
      <c r="AG292" s="585"/>
      <c r="AH292" s="585"/>
      <c r="AI292" s="585"/>
      <c r="AJ292" s="584"/>
      <c r="AK292" s="584"/>
      <c r="AL292" s="584"/>
      <c r="AM292" s="584"/>
      <c r="AR292" s="682"/>
    </row>
    <row r="293" spans="1:49" ht="15" customHeight="1">
      <c r="A293" s="584"/>
      <c r="B293" s="585"/>
      <c r="C293" s="584"/>
      <c r="D293" s="585"/>
      <c r="E293" s="584"/>
      <c r="F293" s="2051"/>
      <c r="G293" s="2052"/>
      <c r="H293" s="2052"/>
      <c r="I293" s="2052"/>
      <c r="J293" s="2052"/>
      <c r="K293" s="2052"/>
      <c r="L293" s="2052"/>
      <c r="M293" s="2052"/>
      <c r="N293" s="2052"/>
      <c r="O293" s="2052"/>
      <c r="P293" s="2052"/>
      <c r="Q293" s="2052"/>
      <c r="R293" s="2052"/>
      <c r="S293" s="2052"/>
      <c r="T293" s="2052"/>
      <c r="U293" s="2052"/>
      <c r="V293" s="2052"/>
      <c r="W293" s="2052"/>
      <c r="X293" s="2052"/>
      <c r="Y293" s="2052"/>
      <c r="Z293" s="2052"/>
      <c r="AA293" s="2052"/>
      <c r="AB293" s="2052"/>
      <c r="AC293" s="2052"/>
      <c r="AD293" s="2053"/>
      <c r="AE293" s="585"/>
      <c r="AF293" s="585"/>
      <c r="AG293" s="585"/>
      <c r="AH293" s="585"/>
      <c r="AI293" s="585"/>
      <c r="AJ293" s="584"/>
      <c r="AK293" s="584"/>
      <c r="AL293" s="584"/>
      <c r="AM293" s="584"/>
      <c r="AR293" s="682"/>
    </row>
    <row r="294" spans="1:49">
      <c r="A294" s="584"/>
      <c r="B294" s="585"/>
      <c r="C294" s="584"/>
      <c r="D294" s="585"/>
      <c r="E294" s="584"/>
      <c r="F294" s="2051"/>
      <c r="G294" s="2052"/>
      <c r="H294" s="2052"/>
      <c r="I294" s="2052"/>
      <c r="J294" s="2052"/>
      <c r="K294" s="2052"/>
      <c r="L294" s="2052"/>
      <c r="M294" s="2052"/>
      <c r="N294" s="2052"/>
      <c r="O294" s="2052"/>
      <c r="P294" s="2052"/>
      <c r="Q294" s="2052"/>
      <c r="R294" s="2052"/>
      <c r="S294" s="2052"/>
      <c r="T294" s="2052"/>
      <c r="U294" s="2052"/>
      <c r="V294" s="2052"/>
      <c r="W294" s="2052"/>
      <c r="X294" s="2052"/>
      <c r="Y294" s="2052"/>
      <c r="Z294" s="2052"/>
      <c r="AA294" s="2052"/>
      <c r="AB294" s="2052"/>
      <c r="AC294" s="2052"/>
      <c r="AD294" s="2053"/>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73"/>
      <c r="G295" s="2074"/>
      <c r="H295" s="2074"/>
      <c r="I295" s="2074"/>
      <c r="J295" s="2074"/>
      <c r="K295" s="2074"/>
      <c r="L295" s="2074"/>
      <c r="M295" s="2074"/>
      <c r="N295" s="2074"/>
      <c r="O295" s="2074"/>
      <c r="P295" s="2074"/>
      <c r="Q295" s="2074"/>
      <c r="R295" s="2074"/>
      <c r="S295" s="2074"/>
      <c r="T295" s="2074"/>
      <c r="U295" s="2074"/>
      <c r="V295" s="2074"/>
      <c r="W295" s="2074"/>
      <c r="X295" s="2074"/>
      <c r="Y295" s="2074"/>
      <c r="Z295" s="2074"/>
      <c r="AA295" s="2074"/>
      <c r="AB295" s="2074"/>
      <c r="AC295" s="2074"/>
      <c r="AD295" s="2075"/>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58" t="s">
        <v>1500</v>
      </c>
      <c r="B299" s="1658"/>
      <c r="C299" s="1947" t="s">
        <v>600</v>
      </c>
      <c r="D299" s="1947"/>
      <c r="E299" s="581"/>
      <c r="F299" s="678" t="s">
        <v>1498</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1499</v>
      </c>
      <c r="AH299" s="585"/>
      <c r="AI299" s="585"/>
      <c r="AJ299" s="584"/>
      <c r="AK299" s="584"/>
      <c r="AL299" s="584"/>
      <c r="AM299" s="584"/>
      <c r="AN299" s="73"/>
      <c r="AO299" s="14"/>
    </row>
    <row r="300" spans="1:49" hidden="1">
      <c r="A300" s="89"/>
      <c r="B300" s="89"/>
      <c r="C300" s="764"/>
      <c r="D300" s="764"/>
      <c r="E300" s="581"/>
      <c r="F300" s="1924" t="s">
        <v>2341</v>
      </c>
      <c r="G300" s="1925"/>
      <c r="H300" s="1925"/>
      <c r="I300" s="1925"/>
      <c r="J300" s="1925"/>
      <c r="K300" s="1925"/>
      <c r="L300" s="1925"/>
      <c r="M300" s="1925"/>
      <c r="N300" s="1925"/>
      <c r="O300" s="1925"/>
      <c r="P300" s="1925"/>
      <c r="Q300" s="1925"/>
      <c r="R300" s="1925"/>
      <c r="S300" s="1925"/>
      <c r="T300" s="1925"/>
      <c r="U300" s="1925"/>
      <c r="V300" s="1925"/>
      <c r="W300" s="1925"/>
      <c r="X300" s="1925"/>
      <c r="Y300" s="1925"/>
      <c r="Z300" s="1925"/>
      <c r="AA300" s="1925"/>
      <c r="AB300" s="1925"/>
      <c r="AC300" s="1925"/>
      <c r="AD300" s="1926"/>
      <c r="AE300" s="585"/>
      <c r="AF300" s="585"/>
      <c r="AG300" s="573"/>
      <c r="AH300" s="585"/>
      <c r="AI300" s="585"/>
      <c r="AJ300" s="584"/>
      <c r="AK300" s="584"/>
      <c r="AL300" s="584"/>
      <c r="AM300" s="584"/>
      <c r="AN300" s="73"/>
      <c r="AO300" s="14"/>
      <c r="AP300" s="591" t="s">
        <v>1291</v>
      </c>
    </row>
    <row r="301" spans="1:49" hidden="1">
      <c r="F301" s="1924"/>
      <c r="G301" s="1925"/>
      <c r="H301" s="1925"/>
      <c r="I301" s="1925"/>
      <c r="J301" s="1925"/>
      <c r="K301" s="1925"/>
      <c r="L301" s="1925"/>
      <c r="M301" s="1925"/>
      <c r="N301" s="1925"/>
      <c r="O301" s="1925"/>
      <c r="P301" s="1925"/>
      <c r="Q301" s="1925"/>
      <c r="R301" s="1925"/>
      <c r="S301" s="1925"/>
      <c r="T301" s="1925"/>
      <c r="U301" s="1925"/>
      <c r="V301" s="1925"/>
      <c r="W301" s="1925"/>
      <c r="X301" s="1925"/>
      <c r="Y301" s="1925"/>
      <c r="Z301" s="1925"/>
      <c r="AA301" s="1925"/>
      <c r="AB301" s="1925"/>
      <c r="AC301" s="1925"/>
      <c r="AD301" s="1926"/>
      <c r="AE301" s="585"/>
      <c r="AF301" s="585"/>
      <c r="AH301" s="585"/>
      <c r="AI301" s="585"/>
      <c r="AJ301" s="584"/>
      <c r="AK301" s="584"/>
      <c r="AL301" s="584"/>
      <c r="AM301" s="584"/>
      <c r="AN301" s="73"/>
      <c r="AO301" s="14"/>
      <c r="AP301" s="591" t="s">
        <v>1920</v>
      </c>
    </row>
    <row r="302" spans="1:49" hidden="1">
      <c r="A302" s="584"/>
      <c r="B302" s="585"/>
      <c r="C302" s="764"/>
      <c r="D302" s="764"/>
      <c r="E302" s="581"/>
      <c r="F302" s="686" t="s">
        <v>1501</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1922</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2047</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54" t="s">
        <v>1291</v>
      </c>
      <c r="G305" s="2055"/>
      <c r="H305" s="2055"/>
      <c r="I305" s="2055"/>
      <c r="J305" s="2055"/>
      <c r="K305" s="2055"/>
      <c r="L305" s="2055"/>
      <c r="M305" s="2055"/>
      <c r="N305" s="2055"/>
      <c r="O305" s="2055"/>
      <c r="P305" s="2055"/>
      <c r="Q305" s="2055"/>
      <c r="R305" s="2055"/>
      <c r="S305" s="2055"/>
      <c r="T305" s="2055"/>
      <c r="U305" s="2055"/>
      <c r="V305" s="2055"/>
      <c r="W305" s="2055"/>
      <c r="X305" s="2055"/>
      <c r="Y305" s="2055"/>
      <c r="Z305" s="2055"/>
      <c r="AA305" s="2055"/>
      <c r="AB305" s="2055"/>
      <c r="AC305" s="2055"/>
      <c r="AD305" s="2056"/>
      <c r="AE305" s="676"/>
      <c r="AF305" s="676"/>
      <c r="AG305" s="676"/>
      <c r="AH305" s="676"/>
      <c r="AI305" s="676"/>
      <c r="AJ305" s="676"/>
      <c r="AK305" s="676"/>
      <c r="AL305" s="584"/>
      <c r="AM305" s="584"/>
      <c r="AN305" s="73"/>
      <c r="AO305" s="14"/>
      <c r="AP305" s="30"/>
    </row>
    <row r="306" spans="1:42" hidden="1">
      <c r="A306" s="584"/>
      <c r="B306" s="585"/>
      <c r="C306" s="764"/>
      <c r="D306" s="764"/>
      <c r="E306" s="581"/>
      <c r="F306" s="2054"/>
      <c r="G306" s="2055"/>
      <c r="H306" s="2055"/>
      <c r="I306" s="2055"/>
      <c r="J306" s="2055"/>
      <c r="K306" s="2055"/>
      <c r="L306" s="2055"/>
      <c r="M306" s="2055"/>
      <c r="N306" s="2055"/>
      <c r="O306" s="2055"/>
      <c r="P306" s="2055"/>
      <c r="Q306" s="2055"/>
      <c r="R306" s="2055"/>
      <c r="S306" s="2055"/>
      <c r="T306" s="2055"/>
      <c r="U306" s="2055"/>
      <c r="V306" s="2055"/>
      <c r="W306" s="2055"/>
      <c r="X306" s="2055"/>
      <c r="Y306" s="2055"/>
      <c r="Z306" s="2055"/>
      <c r="AA306" s="2055"/>
      <c r="AB306" s="2055"/>
      <c r="AC306" s="2055"/>
      <c r="AD306" s="2056"/>
      <c r="AE306" s="585"/>
      <c r="AF306" s="585"/>
      <c r="AG306" s="573"/>
      <c r="AH306" s="585"/>
      <c r="AI306" s="585"/>
      <c r="AJ306" s="584"/>
      <c r="AK306" s="584"/>
      <c r="AL306" s="584"/>
      <c r="AM306" s="584"/>
      <c r="AN306" s="73"/>
      <c r="AO306" s="14"/>
      <c r="AP306" s="30"/>
    </row>
    <row r="307" spans="1:42" hidden="1">
      <c r="A307" s="584"/>
      <c r="B307" s="585"/>
      <c r="C307" s="764"/>
      <c r="D307" s="764"/>
      <c r="E307" s="581"/>
      <c r="F307" s="2054"/>
      <c r="G307" s="2055"/>
      <c r="H307" s="2055"/>
      <c r="I307" s="2055"/>
      <c r="J307" s="2055"/>
      <c r="K307" s="2055"/>
      <c r="L307" s="2055"/>
      <c r="M307" s="2055"/>
      <c r="N307" s="2055"/>
      <c r="O307" s="2055"/>
      <c r="P307" s="2055"/>
      <c r="Q307" s="2055"/>
      <c r="R307" s="2055"/>
      <c r="S307" s="2055"/>
      <c r="T307" s="2055"/>
      <c r="U307" s="2055"/>
      <c r="V307" s="2055"/>
      <c r="W307" s="2055"/>
      <c r="X307" s="2055"/>
      <c r="Y307" s="2055"/>
      <c r="Z307" s="2055"/>
      <c r="AA307" s="2055"/>
      <c r="AB307" s="2055"/>
      <c r="AC307" s="2055"/>
      <c r="AD307" s="2056"/>
      <c r="AE307" s="585"/>
      <c r="AF307" s="585"/>
      <c r="AG307" s="573"/>
      <c r="AH307" s="585"/>
      <c r="AI307" s="585"/>
      <c r="AJ307" s="584"/>
      <c r="AK307" s="584"/>
      <c r="AL307" s="584"/>
      <c r="AM307" s="584"/>
      <c r="AN307" s="73"/>
      <c r="AO307" s="14"/>
      <c r="AP307" s="30"/>
    </row>
    <row r="308" spans="1:42" hidden="1">
      <c r="A308" s="584"/>
      <c r="B308" s="585"/>
      <c r="C308" s="764"/>
      <c r="D308" s="764"/>
      <c r="E308" s="581"/>
      <c r="F308" s="2054"/>
      <c r="G308" s="2055"/>
      <c r="H308" s="2055"/>
      <c r="I308" s="2055"/>
      <c r="J308" s="2055"/>
      <c r="K308" s="2055"/>
      <c r="L308" s="2055"/>
      <c r="M308" s="2055"/>
      <c r="N308" s="2055"/>
      <c r="O308" s="2055"/>
      <c r="P308" s="2055"/>
      <c r="Q308" s="2055"/>
      <c r="R308" s="2055"/>
      <c r="S308" s="2055"/>
      <c r="T308" s="2055"/>
      <c r="U308" s="2055"/>
      <c r="V308" s="2055"/>
      <c r="W308" s="2055"/>
      <c r="X308" s="2055"/>
      <c r="Y308" s="2055"/>
      <c r="Z308" s="2055"/>
      <c r="AA308" s="2055"/>
      <c r="AB308" s="2055"/>
      <c r="AC308" s="2055"/>
      <c r="AD308" s="2056"/>
      <c r="AE308" s="585"/>
      <c r="AF308" s="585"/>
      <c r="AG308" s="573"/>
      <c r="AH308" s="585"/>
      <c r="AI308" s="585"/>
      <c r="AJ308" s="584"/>
      <c r="AK308" s="584"/>
      <c r="AL308" s="584"/>
      <c r="AM308" s="584"/>
      <c r="AN308" s="73"/>
      <c r="AO308" s="14"/>
      <c r="AP308" s="30"/>
    </row>
    <row r="309" spans="1:42" hidden="1">
      <c r="A309" s="584"/>
      <c r="B309" s="585"/>
      <c r="C309" s="764"/>
      <c r="D309" s="764"/>
      <c r="E309" s="581"/>
      <c r="F309" s="2057"/>
      <c r="G309" s="2058"/>
      <c r="H309" s="2058"/>
      <c r="I309" s="2058"/>
      <c r="J309" s="2058"/>
      <c r="K309" s="2058"/>
      <c r="L309" s="2058"/>
      <c r="M309" s="2058"/>
      <c r="N309" s="2058"/>
      <c r="O309" s="2058"/>
      <c r="P309" s="2058"/>
      <c r="Q309" s="2058"/>
      <c r="R309" s="2058"/>
      <c r="S309" s="2058"/>
      <c r="T309" s="2058"/>
      <c r="U309" s="2058"/>
      <c r="V309" s="2058"/>
      <c r="W309" s="2058"/>
      <c r="X309" s="2058"/>
      <c r="Y309" s="2058"/>
      <c r="Z309" s="2058"/>
      <c r="AA309" s="2058"/>
      <c r="AB309" s="2058"/>
      <c r="AC309" s="2058"/>
      <c r="AD309" s="2059"/>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1921</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2060" t="s">
        <v>1291</v>
      </c>
      <c r="J313" s="2060"/>
      <c r="K313" s="2060"/>
      <c r="L313" s="2060"/>
      <c r="M313" s="2060"/>
      <c r="N313" s="2060"/>
      <c r="O313" s="2060"/>
      <c r="P313" s="2060"/>
      <c r="Q313" s="2060"/>
      <c r="R313" s="2060"/>
      <c r="S313" s="2060"/>
      <c r="T313" s="2060"/>
      <c r="U313" s="2060"/>
      <c r="V313" s="2060"/>
      <c r="W313" s="2060"/>
      <c r="X313" s="2060"/>
      <c r="Y313" s="2060"/>
      <c r="Z313" s="2060"/>
      <c r="AA313" s="2060"/>
      <c r="AB313" s="2060"/>
      <c r="AC313" s="2060"/>
      <c r="AD313" s="2061"/>
      <c r="AE313" s="585"/>
      <c r="AF313" s="585"/>
      <c r="AG313" s="573"/>
      <c r="AH313" s="585"/>
      <c r="AI313" s="585"/>
      <c r="AJ313" s="584"/>
      <c r="AK313" s="584"/>
      <c r="AL313" s="584"/>
      <c r="AM313" s="584"/>
      <c r="AN313" s="73"/>
      <c r="AO313" s="14"/>
      <c r="AP313" s="591" t="s">
        <v>1750</v>
      </c>
    </row>
    <row r="314" spans="1:42" hidden="1">
      <c r="A314" s="584"/>
      <c r="B314" s="585"/>
      <c r="C314" s="764"/>
      <c r="D314" s="764"/>
      <c r="E314" s="581"/>
      <c r="F314" s="690"/>
      <c r="G314" s="609"/>
      <c r="H314" s="609"/>
      <c r="I314" s="2060"/>
      <c r="J314" s="2060"/>
      <c r="K314" s="2060"/>
      <c r="L314" s="2060"/>
      <c r="M314" s="2060"/>
      <c r="N314" s="2060"/>
      <c r="O314" s="2060"/>
      <c r="P314" s="2060"/>
      <c r="Q314" s="2060"/>
      <c r="R314" s="2060"/>
      <c r="S314" s="2060"/>
      <c r="T314" s="2060"/>
      <c r="U314" s="2060"/>
      <c r="V314" s="2060"/>
      <c r="W314" s="2060"/>
      <c r="X314" s="2060"/>
      <c r="Y314" s="2060"/>
      <c r="Z314" s="2060"/>
      <c r="AA314" s="2060"/>
      <c r="AB314" s="2060"/>
      <c r="AC314" s="2060"/>
      <c r="AD314" s="2061"/>
      <c r="AE314" s="585"/>
      <c r="AF314" s="585"/>
      <c r="AG314" s="573"/>
      <c r="AH314" s="585"/>
      <c r="AI314" s="585"/>
      <c r="AJ314" s="584"/>
      <c r="AK314" s="584"/>
      <c r="AL314" s="584"/>
      <c r="AM314" s="584"/>
      <c r="AN314" s="73"/>
      <c r="AO314" s="14"/>
      <c r="AP314" s="591" t="s">
        <v>1923</v>
      </c>
    </row>
    <row r="315" spans="1:42" hidden="1">
      <c r="A315" s="584"/>
      <c r="B315" s="585"/>
      <c r="C315" s="685"/>
      <c r="D315" s="685"/>
      <c r="E315" s="581"/>
      <c r="F315" s="690"/>
      <c r="G315" s="609"/>
      <c r="H315" s="609"/>
      <c r="I315" s="2060"/>
      <c r="J315" s="2060"/>
      <c r="K315" s="2060"/>
      <c r="L315" s="2060"/>
      <c r="M315" s="2060"/>
      <c r="N315" s="2060"/>
      <c r="O315" s="2060"/>
      <c r="P315" s="2060"/>
      <c r="Q315" s="2060"/>
      <c r="R315" s="2060"/>
      <c r="S315" s="2060"/>
      <c r="T315" s="2060"/>
      <c r="U315" s="2060"/>
      <c r="V315" s="2060"/>
      <c r="W315" s="2060"/>
      <c r="X315" s="2060"/>
      <c r="Y315" s="2060"/>
      <c r="Z315" s="2060"/>
      <c r="AA315" s="2060"/>
      <c r="AB315" s="2060"/>
      <c r="AC315" s="2060"/>
      <c r="AD315" s="2061"/>
      <c r="AE315" s="585"/>
      <c r="AF315" s="585"/>
      <c r="AG315" s="573"/>
      <c r="AH315" s="585"/>
      <c r="AI315" s="585"/>
      <c r="AJ315" s="584"/>
      <c r="AK315" s="584"/>
      <c r="AL315" s="584"/>
      <c r="AM315" s="584"/>
      <c r="AN315" s="73"/>
      <c r="AO315" s="14"/>
      <c r="AP315" s="591" t="s">
        <v>1925</v>
      </c>
    </row>
    <row r="316" spans="1:42" hidden="1">
      <c r="A316" s="584"/>
      <c r="B316" s="585"/>
      <c r="C316" s="685"/>
      <c r="D316" s="685"/>
      <c r="E316" s="581"/>
      <c r="F316" s="688"/>
      <c r="G316" s="585"/>
      <c r="H316" s="585"/>
      <c r="I316" s="2062"/>
      <c r="J316" s="2062"/>
      <c r="K316" s="2062"/>
      <c r="L316" s="2062"/>
      <c r="M316" s="2062"/>
      <c r="N316" s="2062"/>
      <c r="O316" s="2062"/>
      <c r="P316" s="2062"/>
      <c r="Q316" s="2062"/>
      <c r="R316" s="2062"/>
      <c r="S316" s="2062"/>
      <c r="T316" s="2062"/>
      <c r="U316" s="2062"/>
      <c r="V316" s="2062"/>
      <c r="W316" s="2062"/>
      <c r="X316" s="2062"/>
      <c r="Y316" s="2062"/>
      <c r="Z316" s="2062"/>
      <c r="AA316" s="2062"/>
      <c r="AB316" s="2062"/>
      <c r="AC316" s="2062"/>
      <c r="AD316" s="2063"/>
      <c r="AE316" s="585"/>
      <c r="AF316" s="585"/>
      <c r="AG316" s="573"/>
      <c r="AH316" s="585"/>
      <c r="AI316" s="585"/>
      <c r="AJ316" s="584"/>
      <c r="AK316" s="584"/>
      <c r="AL316" s="584"/>
      <c r="AM316" s="584"/>
      <c r="AN316" s="73"/>
      <c r="AO316" s="14"/>
      <c r="AP316" s="591" t="s">
        <v>1924</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518</v>
      </c>
      <c r="H318" s="585"/>
      <c r="I318" s="2060" t="s">
        <v>1291</v>
      </c>
      <c r="J318" s="2060"/>
      <c r="K318" s="2060"/>
      <c r="L318" s="2060"/>
      <c r="M318" s="2060"/>
      <c r="N318" s="2060"/>
      <c r="O318" s="2060"/>
      <c r="P318" s="2060"/>
      <c r="Q318" s="2060"/>
      <c r="R318" s="2060"/>
      <c r="S318" s="2060"/>
      <c r="T318" s="2060"/>
      <c r="U318" s="2060"/>
      <c r="V318" s="2060"/>
      <c r="W318" s="2060"/>
      <c r="X318" s="2060"/>
      <c r="Y318" s="2060"/>
      <c r="Z318" s="2060"/>
      <c r="AA318" s="2060"/>
      <c r="AB318" s="2060"/>
      <c r="AC318" s="2060"/>
      <c r="AD318" s="2061"/>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60"/>
      <c r="J319" s="2060"/>
      <c r="K319" s="2060"/>
      <c r="L319" s="2060"/>
      <c r="M319" s="2060"/>
      <c r="N319" s="2060"/>
      <c r="O319" s="2060"/>
      <c r="P319" s="2060"/>
      <c r="Q319" s="2060"/>
      <c r="R319" s="2060"/>
      <c r="S319" s="2060"/>
      <c r="T319" s="2060"/>
      <c r="U319" s="2060"/>
      <c r="V319" s="2060"/>
      <c r="W319" s="2060"/>
      <c r="X319" s="2060"/>
      <c r="Y319" s="2060"/>
      <c r="Z319" s="2060"/>
      <c r="AA319" s="2060"/>
      <c r="AB319" s="2060"/>
      <c r="AC319" s="2060"/>
      <c r="AD319" s="2061"/>
      <c r="AE319" s="585"/>
      <c r="AF319" s="585"/>
      <c r="AG319" s="573"/>
      <c r="AH319" s="585"/>
      <c r="AI319" s="585"/>
      <c r="AJ319" s="584"/>
      <c r="AK319" s="584"/>
      <c r="AL319" s="584"/>
      <c r="AM319" s="584"/>
      <c r="AN319" s="73"/>
      <c r="AO319" s="14"/>
      <c r="AP319" s="591" t="s">
        <v>1291</v>
      </c>
    </row>
    <row r="320" spans="1:42" hidden="1">
      <c r="A320" s="584"/>
      <c r="B320" s="585"/>
      <c r="C320" s="685"/>
      <c r="D320" s="685"/>
      <c r="E320" s="581"/>
      <c r="F320" s="691"/>
      <c r="G320" s="692"/>
      <c r="H320" s="692"/>
      <c r="I320" s="2062"/>
      <c r="J320" s="2062"/>
      <c r="K320" s="2062"/>
      <c r="L320" s="2062"/>
      <c r="M320" s="2062"/>
      <c r="N320" s="2062"/>
      <c r="O320" s="2062"/>
      <c r="P320" s="2062"/>
      <c r="Q320" s="2062"/>
      <c r="R320" s="2062"/>
      <c r="S320" s="2062"/>
      <c r="T320" s="2062"/>
      <c r="U320" s="2062"/>
      <c r="V320" s="2062"/>
      <c r="W320" s="2062"/>
      <c r="X320" s="2062"/>
      <c r="Y320" s="2062"/>
      <c r="Z320" s="2062"/>
      <c r="AA320" s="2062"/>
      <c r="AB320" s="2062"/>
      <c r="AC320" s="2062"/>
      <c r="AD320" s="2063"/>
      <c r="AE320" s="585"/>
      <c r="AF320" s="585"/>
      <c r="AG320" s="573"/>
      <c r="AH320" s="585"/>
      <c r="AI320" s="585"/>
      <c r="AJ320" s="584"/>
      <c r="AK320" s="584"/>
      <c r="AL320" s="584"/>
      <c r="AM320" s="584"/>
      <c r="AN320" s="73"/>
      <c r="AO320" s="14"/>
      <c r="AP320" s="591" t="s">
        <v>1502</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1751</v>
      </c>
    </row>
    <row r="322" spans="1:44" ht="12.75" hidden="1" customHeight="1">
      <c r="A322" s="1658" t="s">
        <v>1503</v>
      </c>
      <c r="B322" s="1658"/>
      <c r="C322" s="1947" t="s">
        <v>600</v>
      </c>
      <c r="D322" s="1947"/>
      <c r="E322" s="581"/>
      <c r="F322" s="2048" t="s">
        <v>2342</v>
      </c>
      <c r="G322" s="2049"/>
      <c r="H322" s="2049"/>
      <c r="I322" s="2049"/>
      <c r="J322" s="2049"/>
      <c r="K322" s="2049"/>
      <c r="L322" s="2049"/>
      <c r="M322" s="2049"/>
      <c r="N322" s="2049"/>
      <c r="O322" s="2049"/>
      <c r="P322" s="2049"/>
      <c r="Q322" s="2049"/>
      <c r="R322" s="2049"/>
      <c r="S322" s="2049"/>
      <c r="T322" s="2049"/>
      <c r="U322" s="2049"/>
      <c r="V322" s="2049"/>
      <c r="W322" s="2049"/>
      <c r="X322" s="2049"/>
      <c r="Y322" s="2049"/>
      <c r="Z322" s="2049"/>
      <c r="AA322" s="2049"/>
      <c r="AB322" s="2049"/>
      <c r="AC322" s="2049"/>
      <c r="AD322" s="2050"/>
      <c r="AE322" s="585"/>
      <c r="AF322" s="585"/>
      <c r="AG322" s="573" t="s">
        <v>1499</v>
      </c>
      <c r="AH322" s="585"/>
      <c r="AI322" s="585"/>
      <c r="AJ322" s="584"/>
      <c r="AK322" s="584"/>
      <c r="AL322" s="584"/>
      <c r="AM322" s="584"/>
      <c r="AN322" s="73"/>
      <c r="AO322" s="14"/>
    </row>
    <row r="323" spans="1:44" ht="15" hidden="1" customHeight="1">
      <c r="A323" s="584"/>
      <c r="B323" s="585"/>
      <c r="C323" s="585"/>
      <c r="D323" s="585"/>
      <c r="E323" s="585"/>
      <c r="F323" s="2051"/>
      <c r="G323" s="2052"/>
      <c r="H323" s="2052"/>
      <c r="I323" s="2052"/>
      <c r="J323" s="2052"/>
      <c r="K323" s="2052"/>
      <c r="L323" s="2052"/>
      <c r="M323" s="2052"/>
      <c r="N323" s="2052"/>
      <c r="O323" s="2052"/>
      <c r="P323" s="2052"/>
      <c r="Q323" s="2052"/>
      <c r="R323" s="2052"/>
      <c r="S323" s="2052"/>
      <c r="T323" s="2052"/>
      <c r="U323" s="2052"/>
      <c r="V323" s="2052"/>
      <c r="W323" s="2052"/>
      <c r="X323" s="2052"/>
      <c r="Y323" s="2052"/>
      <c r="Z323" s="2052"/>
      <c r="AA323" s="2052"/>
      <c r="AB323" s="2052"/>
      <c r="AC323" s="2052"/>
      <c r="AD323" s="2053"/>
      <c r="AE323" s="585"/>
      <c r="AF323" s="585"/>
      <c r="AG323" s="585"/>
      <c r="AH323" s="585"/>
      <c r="AI323" s="585"/>
      <c r="AJ323" s="584"/>
      <c r="AK323" s="584"/>
      <c r="AL323" s="584"/>
      <c r="AM323" s="584"/>
      <c r="AN323" s="73"/>
      <c r="AO323" s="14"/>
    </row>
    <row r="324" spans="1:44" ht="15" hidden="1" customHeight="1">
      <c r="A324" s="584"/>
      <c r="B324" s="585"/>
      <c r="C324" s="585"/>
      <c r="D324" s="585"/>
      <c r="E324" s="585"/>
      <c r="F324" s="2051"/>
      <c r="G324" s="2052"/>
      <c r="H324" s="2052"/>
      <c r="I324" s="2052"/>
      <c r="J324" s="2052"/>
      <c r="K324" s="2052"/>
      <c r="L324" s="2052"/>
      <c r="M324" s="2052"/>
      <c r="N324" s="2052"/>
      <c r="O324" s="2052"/>
      <c r="P324" s="2052"/>
      <c r="Q324" s="2052"/>
      <c r="R324" s="2052"/>
      <c r="S324" s="2052"/>
      <c r="T324" s="2052"/>
      <c r="U324" s="2052"/>
      <c r="V324" s="2052"/>
      <c r="W324" s="2052"/>
      <c r="X324" s="2052"/>
      <c r="Y324" s="2052"/>
      <c r="Z324" s="2052"/>
      <c r="AA324" s="2052"/>
      <c r="AB324" s="2052"/>
      <c r="AC324" s="2052"/>
      <c r="AD324" s="2053"/>
      <c r="AE324" s="585"/>
      <c r="AF324" s="585"/>
      <c r="AG324" s="585"/>
      <c r="AH324" s="585"/>
      <c r="AI324" s="585"/>
      <c r="AJ324" s="584"/>
      <c r="AK324" s="584"/>
      <c r="AL324" s="584"/>
      <c r="AM324" s="693"/>
      <c r="AN324" s="14"/>
      <c r="AO324" s="14"/>
    </row>
    <row r="325" spans="1:44" hidden="1">
      <c r="A325" s="584"/>
      <c r="B325" s="585"/>
      <c r="C325" s="584"/>
      <c r="D325" s="585"/>
      <c r="E325" s="584"/>
      <c r="F325" s="694" t="s">
        <v>1504</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1563</v>
      </c>
      <c r="AK327" s="1932">
        <f>IF(NOT(OR(Application!M355="Yes",Application!M356="Yes")),0,AP284)</f>
        <v>10</v>
      </c>
      <c r="AL327" s="1933"/>
      <c r="AM327" s="1934"/>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1564</v>
      </c>
      <c r="B330" s="573" t="s">
        <v>857</v>
      </c>
      <c r="C330" s="570"/>
      <c r="AC330" s="573"/>
      <c r="AE330" s="1938" t="s">
        <v>1425</v>
      </c>
      <c r="AF330" s="1938"/>
      <c r="AG330" s="1938"/>
      <c r="AH330" s="1938"/>
      <c r="AI330" s="1938"/>
      <c r="AJ330" s="1938"/>
      <c r="AK330" s="1938"/>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42" t="s">
        <v>1565</v>
      </c>
      <c r="D332" s="1942"/>
      <c r="E332" s="1942"/>
      <c r="F332" s="1942"/>
      <c r="G332" s="1942"/>
      <c r="H332" s="1942"/>
      <c r="I332" s="1942"/>
      <c r="J332" s="1942"/>
      <c r="K332" s="1942"/>
      <c r="L332" s="1942"/>
      <c r="M332" s="1942"/>
      <c r="N332" s="1942"/>
      <c r="O332" s="1942"/>
      <c r="P332" s="1942"/>
      <c r="Q332" s="1942"/>
      <c r="R332" s="1942"/>
      <c r="S332" s="1942"/>
      <c r="T332" s="1942"/>
      <c r="U332" s="1942"/>
      <c r="V332" s="1942"/>
      <c r="W332" s="1942"/>
      <c r="X332" s="1942"/>
      <c r="Y332" s="1942"/>
      <c r="Z332" s="1942"/>
      <c r="AA332" s="1942"/>
      <c r="AB332" s="1942"/>
      <c r="AC332" s="1942"/>
      <c r="AD332" s="1942"/>
      <c r="AE332" s="1942"/>
      <c r="AF332" s="1942"/>
      <c r="AG332" s="1942"/>
      <c r="AH332" s="1942"/>
      <c r="AI332" s="1942"/>
      <c r="AJ332" s="1942"/>
      <c r="AK332" s="637"/>
      <c r="AL332" s="637"/>
      <c r="AM332" s="637"/>
      <c r="AN332" s="631"/>
    </row>
    <row r="333" spans="1:44" s="584" customFormat="1" ht="12.75" customHeight="1">
      <c r="A333" s="637"/>
      <c r="B333" s="645"/>
      <c r="C333" s="1942"/>
      <c r="D333" s="1942"/>
      <c r="E333" s="1942"/>
      <c r="F333" s="1942"/>
      <c r="G333" s="1942"/>
      <c r="H333" s="1942"/>
      <c r="I333" s="1942"/>
      <c r="J333" s="1942"/>
      <c r="K333" s="1942"/>
      <c r="L333" s="1942"/>
      <c r="M333" s="1942"/>
      <c r="N333" s="1942"/>
      <c r="O333" s="1942"/>
      <c r="P333" s="1942"/>
      <c r="Q333" s="1942"/>
      <c r="R333" s="1942"/>
      <c r="S333" s="1942"/>
      <c r="T333" s="1942"/>
      <c r="U333" s="1942"/>
      <c r="V333" s="1942"/>
      <c r="W333" s="1942"/>
      <c r="X333" s="1942"/>
      <c r="Y333" s="1942"/>
      <c r="Z333" s="1942"/>
      <c r="AA333" s="1942"/>
      <c r="AB333" s="1942"/>
      <c r="AC333" s="1942"/>
      <c r="AD333" s="1942"/>
      <c r="AE333" s="1942"/>
      <c r="AF333" s="1942"/>
      <c r="AG333" s="1942"/>
      <c r="AH333" s="1942"/>
      <c r="AI333" s="1942"/>
      <c r="AJ333" s="1942"/>
      <c r="AK333" s="637"/>
      <c r="AL333" s="637"/>
      <c r="AM333" s="637"/>
      <c r="AN333" s="631"/>
    </row>
    <row r="334" spans="1:44" s="584" customFormat="1" ht="12.75" customHeight="1">
      <c r="A334" s="637"/>
      <c r="B334" s="645"/>
      <c r="C334" s="1942"/>
      <c r="D334" s="1942"/>
      <c r="E334" s="1942"/>
      <c r="F334" s="1942"/>
      <c r="G334" s="1942"/>
      <c r="H334" s="1942"/>
      <c r="I334" s="1942"/>
      <c r="J334" s="1942"/>
      <c r="K334" s="1942"/>
      <c r="L334" s="1942"/>
      <c r="M334" s="1942"/>
      <c r="N334" s="1942"/>
      <c r="O334" s="1942"/>
      <c r="P334" s="1942"/>
      <c r="Q334" s="1942"/>
      <c r="R334" s="1942"/>
      <c r="S334" s="1942"/>
      <c r="T334" s="1942"/>
      <c r="U334" s="1942"/>
      <c r="V334" s="1942"/>
      <c r="W334" s="1942"/>
      <c r="X334" s="1942"/>
      <c r="Y334" s="1942"/>
      <c r="Z334" s="1942"/>
      <c r="AA334" s="1942"/>
      <c r="AB334" s="1942"/>
      <c r="AC334" s="1942"/>
      <c r="AD334" s="1942"/>
      <c r="AE334" s="1942"/>
      <c r="AF334" s="1942"/>
      <c r="AG334" s="1942"/>
      <c r="AH334" s="1942"/>
      <c r="AI334" s="1942"/>
      <c r="AJ334" s="1942"/>
      <c r="AK334" s="637"/>
      <c r="AL334" s="637"/>
      <c r="AM334" s="637"/>
      <c r="AN334" s="631"/>
      <c r="AQ334" s="604"/>
    </row>
    <row r="335" spans="1:44" s="584" customFormat="1" ht="12.75" customHeight="1">
      <c r="A335" s="637"/>
      <c r="B335" s="645"/>
      <c r="C335" s="1942"/>
      <c r="D335" s="1942"/>
      <c r="E335" s="1942"/>
      <c r="F335" s="1942"/>
      <c r="G335" s="1942"/>
      <c r="H335" s="1942"/>
      <c r="I335" s="1942"/>
      <c r="J335" s="1942"/>
      <c r="K335" s="1942"/>
      <c r="L335" s="1942"/>
      <c r="M335" s="1942"/>
      <c r="N335" s="1942"/>
      <c r="O335" s="1942"/>
      <c r="P335" s="1942"/>
      <c r="Q335" s="1942"/>
      <c r="R335" s="1942"/>
      <c r="S335" s="1942"/>
      <c r="T335" s="1942"/>
      <c r="U335" s="1942"/>
      <c r="V335" s="1942"/>
      <c r="W335" s="1942"/>
      <c r="X335" s="1942"/>
      <c r="Y335" s="1942"/>
      <c r="Z335" s="1942"/>
      <c r="AA335" s="1942"/>
      <c r="AB335" s="1942"/>
      <c r="AC335" s="1942"/>
      <c r="AD335" s="1942"/>
      <c r="AE335" s="1942"/>
      <c r="AF335" s="1942"/>
      <c r="AG335" s="1942"/>
      <c r="AH335" s="1942"/>
      <c r="AI335" s="1942"/>
      <c r="AJ335" s="1942"/>
      <c r="AK335" s="637"/>
      <c r="AL335" s="637"/>
      <c r="AM335" s="637"/>
      <c r="AN335" s="631"/>
      <c r="AQ335" s="604"/>
    </row>
    <row r="336" spans="1:44" s="584" customFormat="1" ht="12.4" customHeight="1">
      <c r="A336" s="637"/>
      <c r="B336" s="645"/>
      <c r="C336" s="1942"/>
      <c r="D336" s="1942"/>
      <c r="E336" s="1942"/>
      <c r="F336" s="1942"/>
      <c r="G336" s="1942"/>
      <c r="H336" s="1942"/>
      <c r="I336" s="1942"/>
      <c r="J336" s="1942"/>
      <c r="K336" s="1942"/>
      <c r="L336" s="1942"/>
      <c r="M336" s="1942"/>
      <c r="N336" s="1942"/>
      <c r="O336" s="1942"/>
      <c r="P336" s="1942"/>
      <c r="Q336" s="1942"/>
      <c r="R336" s="1942"/>
      <c r="S336" s="1942"/>
      <c r="T336" s="1942"/>
      <c r="U336" s="1942"/>
      <c r="V336" s="1942"/>
      <c r="W336" s="1942"/>
      <c r="X336" s="1942"/>
      <c r="Y336" s="1942"/>
      <c r="Z336" s="1942"/>
      <c r="AA336" s="1942"/>
      <c r="AB336" s="1942"/>
      <c r="AC336" s="1942"/>
      <c r="AD336" s="1942"/>
      <c r="AE336" s="1942"/>
      <c r="AF336" s="1942"/>
      <c r="AG336" s="1942"/>
      <c r="AH336" s="1942"/>
      <c r="AI336" s="1942"/>
      <c r="AJ336" s="1942"/>
      <c r="AK336" s="637"/>
      <c r="AL336" s="637"/>
      <c r="AM336" s="637"/>
      <c r="AN336" s="631"/>
      <c r="AQ336" s="604"/>
      <c r="AR336" s="604"/>
    </row>
    <row r="337" spans="1:46" s="584" customFormat="1" ht="45.75" customHeight="1">
      <c r="A337" s="637"/>
      <c r="B337" s="645"/>
      <c r="C337" s="1942" t="s">
        <v>2409</v>
      </c>
      <c r="D337" s="1942"/>
      <c r="E337" s="1942"/>
      <c r="F337" s="1942"/>
      <c r="G337" s="1942"/>
      <c r="H337" s="1942"/>
      <c r="I337" s="1942"/>
      <c r="J337" s="1942"/>
      <c r="K337" s="1942"/>
      <c r="L337" s="1942"/>
      <c r="M337" s="1942"/>
      <c r="N337" s="1942"/>
      <c r="O337" s="1942"/>
      <c r="P337" s="1942"/>
      <c r="Q337" s="1942"/>
      <c r="R337" s="1942"/>
      <c r="S337" s="1942"/>
      <c r="T337" s="1942"/>
      <c r="U337" s="1942"/>
      <c r="V337" s="1942"/>
      <c r="W337" s="1942"/>
      <c r="X337" s="1942"/>
      <c r="Y337" s="1942"/>
      <c r="Z337" s="1942"/>
      <c r="AA337" s="1942"/>
      <c r="AB337" s="1942"/>
      <c r="AC337" s="1942"/>
      <c r="AD337" s="1942"/>
      <c r="AE337" s="1942"/>
      <c r="AF337" s="1942"/>
      <c r="AG337" s="1942"/>
      <c r="AH337" s="1942"/>
      <c r="AI337" s="1942"/>
      <c r="AJ337" s="1942"/>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42" t="s">
        <v>2571</v>
      </c>
      <c r="D339" s="1942"/>
      <c r="E339" s="1942"/>
      <c r="F339" s="1942"/>
      <c r="G339" s="1942"/>
      <c r="H339" s="1942"/>
      <c r="I339" s="1942"/>
      <c r="J339" s="1942"/>
      <c r="K339" s="1942"/>
      <c r="L339" s="1942"/>
      <c r="M339" s="1942"/>
      <c r="N339" s="1942"/>
      <c r="O339" s="1942"/>
      <c r="P339" s="1942"/>
      <c r="Q339" s="1942"/>
      <c r="R339" s="1942"/>
      <c r="S339" s="1942"/>
      <c r="T339" s="1942"/>
      <c r="U339" s="1942"/>
      <c r="V339" s="1942"/>
      <c r="W339" s="1942"/>
      <c r="X339" s="1942"/>
      <c r="Y339" s="1942"/>
      <c r="Z339" s="1942"/>
      <c r="AA339" s="1942"/>
      <c r="AB339" s="1942"/>
      <c r="AC339" s="1942"/>
      <c r="AD339" s="1942"/>
      <c r="AE339" s="1942"/>
      <c r="AF339" s="1942"/>
      <c r="AG339" s="1942"/>
      <c r="AH339" s="1942"/>
      <c r="AI339" s="1942"/>
      <c r="AJ339" s="1942"/>
      <c r="AK339" s="637"/>
      <c r="AL339" s="637"/>
      <c r="AM339" s="637"/>
      <c r="AN339" s="631"/>
      <c r="AQ339" s="604"/>
      <c r="AR339" s="604"/>
    </row>
    <row r="340" spans="1:46" s="584" customFormat="1" ht="30" customHeight="1">
      <c r="A340" s="637"/>
      <c r="B340" s="645"/>
      <c r="C340" s="1942"/>
      <c r="D340" s="1942"/>
      <c r="E340" s="1942"/>
      <c r="F340" s="1942"/>
      <c r="G340" s="1942"/>
      <c r="H340" s="1942"/>
      <c r="I340" s="1942"/>
      <c r="J340" s="1942"/>
      <c r="K340" s="1942"/>
      <c r="L340" s="1942"/>
      <c r="M340" s="1942"/>
      <c r="N340" s="1942"/>
      <c r="O340" s="1942"/>
      <c r="P340" s="1942"/>
      <c r="Q340" s="1942"/>
      <c r="R340" s="1942"/>
      <c r="S340" s="1942"/>
      <c r="T340" s="1942"/>
      <c r="U340" s="1942"/>
      <c r="V340" s="1942"/>
      <c r="W340" s="1942"/>
      <c r="X340" s="1942"/>
      <c r="Y340" s="1942"/>
      <c r="Z340" s="1942"/>
      <c r="AA340" s="1942"/>
      <c r="AB340" s="1942"/>
      <c r="AC340" s="1942"/>
      <c r="AD340" s="1942"/>
      <c r="AE340" s="1942"/>
      <c r="AF340" s="1942"/>
      <c r="AG340" s="1942"/>
      <c r="AH340" s="1942"/>
      <c r="AI340" s="1942"/>
      <c r="AJ340" s="1942"/>
      <c r="AK340" s="637"/>
      <c r="AL340" s="637"/>
      <c r="AM340" s="637"/>
      <c r="AN340" s="631"/>
      <c r="AR340" s="604"/>
    </row>
    <row r="341" spans="1:46" s="584" customFormat="1" ht="12.75" customHeight="1">
      <c r="A341" s="637"/>
      <c r="B341" s="645"/>
      <c r="C341" s="1942"/>
      <c r="D341" s="1942"/>
      <c r="E341" s="1942"/>
      <c r="F341" s="1942"/>
      <c r="G341" s="1942"/>
      <c r="H341" s="1942"/>
      <c r="I341" s="1942"/>
      <c r="J341" s="1942"/>
      <c r="K341" s="1942"/>
      <c r="L341" s="1942"/>
      <c r="M341" s="1942"/>
      <c r="N341" s="1942"/>
      <c r="O341" s="1942"/>
      <c r="P341" s="1942"/>
      <c r="Q341" s="1942"/>
      <c r="R341" s="1942"/>
      <c r="S341" s="1942"/>
      <c r="T341" s="1942"/>
      <c r="U341" s="1942"/>
      <c r="V341" s="1942"/>
      <c r="W341" s="1942"/>
      <c r="X341" s="1942"/>
      <c r="Y341" s="1942"/>
      <c r="Z341" s="1942"/>
      <c r="AA341" s="1942"/>
      <c r="AB341" s="1942"/>
      <c r="AC341" s="1942"/>
      <c r="AD341" s="1942"/>
      <c r="AE341" s="1942"/>
      <c r="AF341" s="1942"/>
      <c r="AG341" s="1942"/>
      <c r="AH341" s="1942"/>
      <c r="AI341" s="1942"/>
      <c r="AJ341" s="1942"/>
      <c r="AK341" s="637"/>
      <c r="AL341" s="637"/>
      <c r="AM341" s="637"/>
      <c r="AN341" s="631"/>
      <c r="AR341" s="604"/>
    </row>
    <row r="342" spans="1:46" s="584" customFormat="1" ht="12.75" customHeight="1">
      <c r="A342" s="637"/>
      <c r="B342" s="645"/>
      <c r="C342" s="1942" t="s">
        <v>1566</v>
      </c>
      <c r="D342" s="1942"/>
      <c r="E342" s="1942"/>
      <c r="F342" s="1942"/>
      <c r="G342" s="1942"/>
      <c r="H342" s="1942"/>
      <c r="I342" s="1942"/>
      <c r="J342" s="1942"/>
      <c r="K342" s="1942"/>
      <c r="L342" s="1942"/>
      <c r="M342" s="1942"/>
      <c r="N342" s="1942"/>
      <c r="O342" s="1942"/>
      <c r="P342" s="1942"/>
      <c r="Q342" s="1942"/>
      <c r="R342" s="1942"/>
      <c r="S342" s="1942"/>
      <c r="T342" s="1942"/>
      <c r="U342" s="1942"/>
      <c r="V342" s="1942"/>
      <c r="W342" s="1942"/>
      <c r="X342" s="1942"/>
      <c r="Y342" s="1942"/>
      <c r="Z342" s="1942"/>
      <c r="AA342" s="1942"/>
      <c r="AB342" s="1942"/>
      <c r="AC342" s="1942"/>
      <c r="AD342" s="1942"/>
      <c r="AE342" s="1942"/>
      <c r="AF342" s="1942"/>
      <c r="AG342" s="1942"/>
      <c r="AH342" s="1942"/>
      <c r="AI342" s="1942"/>
      <c r="AJ342" s="1942"/>
      <c r="AK342" s="637"/>
      <c r="AL342" s="637"/>
      <c r="AM342" s="637"/>
      <c r="AN342" s="631"/>
      <c r="AQ342" s="604"/>
      <c r="AR342" s="604"/>
    </row>
    <row r="343" spans="1:46" s="584" customFormat="1" ht="12.75" customHeight="1">
      <c r="A343" s="637"/>
      <c r="B343" s="645"/>
      <c r="C343" s="1942"/>
      <c r="D343" s="1942"/>
      <c r="E343" s="1942"/>
      <c r="F343" s="1942"/>
      <c r="G343" s="1942"/>
      <c r="H343" s="1942"/>
      <c r="I343" s="1942"/>
      <c r="J343" s="1942"/>
      <c r="K343" s="1942"/>
      <c r="L343" s="1942"/>
      <c r="M343" s="1942"/>
      <c r="N343" s="1942"/>
      <c r="O343" s="1942"/>
      <c r="P343" s="1942"/>
      <c r="Q343" s="1942"/>
      <c r="R343" s="1942"/>
      <c r="S343" s="1942"/>
      <c r="T343" s="1942"/>
      <c r="U343" s="1942"/>
      <c r="V343" s="1942"/>
      <c r="W343" s="1942"/>
      <c r="X343" s="1942"/>
      <c r="Y343" s="1942"/>
      <c r="Z343" s="1942"/>
      <c r="AA343" s="1942"/>
      <c r="AB343" s="1942"/>
      <c r="AC343" s="1942"/>
      <c r="AD343" s="1942"/>
      <c r="AE343" s="1942"/>
      <c r="AF343" s="1942"/>
      <c r="AG343" s="1942"/>
      <c r="AH343" s="1942"/>
      <c r="AI343" s="1942"/>
      <c r="AJ343" s="1942"/>
      <c r="AK343" s="637"/>
      <c r="AL343" s="637"/>
      <c r="AM343" s="637"/>
      <c r="AN343" s="631"/>
      <c r="AQ343" s="604"/>
      <c r="AR343" s="604"/>
    </row>
    <row r="344" spans="1:46" s="584" customFormat="1" ht="13.15" customHeight="1">
      <c r="A344" s="637"/>
      <c r="B344" s="645"/>
      <c r="C344" s="1942"/>
      <c r="D344" s="1942"/>
      <c r="E344" s="1942"/>
      <c r="F344" s="1942"/>
      <c r="G344" s="1942"/>
      <c r="H344" s="1942"/>
      <c r="I344" s="1942"/>
      <c r="J344" s="1942"/>
      <c r="K344" s="1942"/>
      <c r="L344" s="1942"/>
      <c r="M344" s="1942"/>
      <c r="N344" s="1942"/>
      <c r="O344" s="1942"/>
      <c r="P344" s="1942"/>
      <c r="Q344" s="1942"/>
      <c r="R344" s="1942"/>
      <c r="S344" s="1942"/>
      <c r="T344" s="1942"/>
      <c r="U344" s="1942"/>
      <c r="V344" s="1942"/>
      <c r="W344" s="1942"/>
      <c r="X344" s="1942"/>
      <c r="Y344" s="1942"/>
      <c r="Z344" s="1942"/>
      <c r="AA344" s="1942"/>
      <c r="AB344" s="1942"/>
      <c r="AC344" s="1942"/>
      <c r="AD344" s="1942"/>
      <c r="AE344" s="1942"/>
      <c r="AF344" s="1942"/>
      <c r="AG344" s="1942"/>
      <c r="AH344" s="1942"/>
      <c r="AI344" s="1942"/>
      <c r="AJ344" s="1942"/>
      <c r="AK344" s="637"/>
      <c r="AL344" s="637"/>
      <c r="AM344" s="637"/>
      <c r="AN344" s="631"/>
      <c r="AQ344" s="604"/>
      <c r="AR344" s="604"/>
    </row>
    <row r="345" spans="1:46" s="584" customFormat="1" ht="12.75" customHeight="1">
      <c r="A345" s="637"/>
      <c r="B345" s="645"/>
      <c r="C345" s="1942"/>
      <c r="D345" s="1942"/>
      <c r="E345" s="1942"/>
      <c r="F345" s="1942"/>
      <c r="G345" s="1942"/>
      <c r="H345" s="1942"/>
      <c r="I345" s="1942"/>
      <c r="J345" s="1942"/>
      <c r="K345" s="1942"/>
      <c r="L345" s="1942"/>
      <c r="M345" s="1942"/>
      <c r="N345" s="1942"/>
      <c r="O345" s="1942"/>
      <c r="P345" s="1942"/>
      <c r="Q345" s="1942"/>
      <c r="R345" s="1942"/>
      <c r="S345" s="1942"/>
      <c r="T345" s="1942"/>
      <c r="U345" s="1942"/>
      <c r="V345" s="1942"/>
      <c r="W345" s="1942"/>
      <c r="X345" s="1942"/>
      <c r="Y345" s="1942"/>
      <c r="Z345" s="1942"/>
      <c r="AA345" s="1942"/>
      <c r="AB345" s="1942"/>
      <c r="AC345" s="1942"/>
      <c r="AD345" s="1942"/>
      <c r="AE345" s="1942"/>
      <c r="AF345" s="1942"/>
      <c r="AG345" s="1942"/>
      <c r="AH345" s="1942"/>
      <c r="AI345" s="1942"/>
      <c r="AJ345" s="1942"/>
      <c r="AK345" s="637"/>
      <c r="AL345" s="637"/>
      <c r="AM345" s="637"/>
      <c r="AN345" s="631"/>
      <c r="AO345" s="728"/>
      <c r="AP345" s="728"/>
      <c r="AQ345" s="604"/>
    </row>
    <row r="346" spans="1:46" s="584" customFormat="1" ht="11.85" customHeight="1">
      <c r="A346" s="637"/>
      <c r="B346" s="645"/>
      <c r="C346" s="1942"/>
      <c r="D346" s="1942"/>
      <c r="E346" s="1942"/>
      <c r="F346" s="1942"/>
      <c r="G346" s="1942"/>
      <c r="H346" s="1942"/>
      <c r="I346" s="1942"/>
      <c r="J346" s="1942"/>
      <c r="K346" s="1942"/>
      <c r="L346" s="1942"/>
      <c r="M346" s="1942"/>
      <c r="N346" s="1942"/>
      <c r="O346" s="1942"/>
      <c r="P346" s="1942"/>
      <c r="Q346" s="1942"/>
      <c r="R346" s="1942"/>
      <c r="S346" s="1942"/>
      <c r="T346" s="1942"/>
      <c r="U346" s="1942"/>
      <c r="V346" s="1942"/>
      <c r="W346" s="1942"/>
      <c r="X346" s="1942"/>
      <c r="Y346" s="1942"/>
      <c r="Z346" s="1942"/>
      <c r="AA346" s="1942"/>
      <c r="AB346" s="1942"/>
      <c r="AC346" s="1942"/>
      <c r="AD346" s="1942"/>
      <c r="AE346" s="1942"/>
      <c r="AF346" s="1942"/>
      <c r="AG346" s="1942"/>
      <c r="AH346" s="1942"/>
      <c r="AI346" s="1942"/>
      <c r="AJ346" s="1942"/>
      <c r="AK346" s="637"/>
      <c r="AL346" s="637"/>
      <c r="AM346" s="637"/>
      <c r="AN346" s="631"/>
      <c r="AO346" s="729" t="s">
        <v>112</v>
      </c>
      <c r="AP346" s="730">
        <f>IF(C370="Yes",5,0)</f>
        <v>5</v>
      </c>
      <c r="AS346" s="573" t="s">
        <v>1567</v>
      </c>
    </row>
    <row r="347" spans="1:46" s="584" customFormat="1" ht="12.75" customHeight="1">
      <c r="A347" s="637"/>
      <c r="B347" s="645"/>
      <c r="C347" s="1942"/>
      <c r="D347" s="1942"/>
      <c r="E347" s="1942"/>
      <c r="F347" s="1942"/>
      <c r="G347" s="1942"/>
      <c r="H347" s="1942"/>
      <c r="I347" s="1942"/>
      <c r="J347" s="1942"/>
      <c r="K347" s="1942"/>
      <c r="L347" s="1942"/>
      <c r="M347" s="1942"/>
      <c r="N347" s="1942"/>
      <c r="O347" s="1942"/>
      <c r="P347" s="1942"/>
      <c r="Q347" s="1942"/>
      <c r="R347" s="1942"/>
      <c r="S347" s="1942"/>
      <c r="T347" s="1942"/>
      <c r="U347" s="1942"/>
      <c r="V347" s="1942"/>
      <c r="W347" s="1942"/>
      <c r="X347" s="1942"/>
      <c r="Y347" s="1942"/>
      <c r="Z347" s="1942"/>
      <c r="AA347" s="1942"/>
      <c r="AB347" s="1942"/>
      <c r="AC347" s="1942"/>
      <c r="AD347" s="1942"/>
      <c r="AE347" s="1942"/>
      <c r="AF347" s="1942"/>
      <c r="AG347" s="1942"/>
      <c r="AH347" s="1942"/>
      <c r="AI347" s="1942"/>
      <c r="AJ347" s="1942"/>
      <c r="AK347" s="637"/>
      <c r="AL347" s="637"/>
      <c r="AM347" s="637"/>
      <c r="AN347" s="631"/>
      <c r="AO347" s="729" t="s">
        <v>113</v>
      </c>
      <c r="AP347" s="730">
        <f>IF(C378="Yes",5,0)</f>
        <v>0</v>
      </c>
      <c r="AS347" s="1907">
        <f>IF(Application!D211="Non-Targeted",(SUM(AQ355+AQ364)),AS351)</f>
        <v>10</v>
      </c>
      <c r="AT347" s="1907"/>
    </row>
    <row r="348" spans="1:46" s="584" customFormat="1" ht="12.75" customHeight="1">
      <c r="A348" s="637"/>
      <c r="B348" s="645"/>
      <c r="C348" s="1942"/>
      <c r="D348" s="1942"/>
      <c r="E348" s="1942"/>
      <c r="F348" s="1942"/>
      <c r="G348" s="1942"/>
      <c r="H348" s="1942"/>
      <c r="I348" s="1942"/>
      <c r="J348" s="1942"/>
      <c r="K348" s="1942"/>
      <c r="L348" s="1942"/>
      <c r="M348" s="1942"/>
      <c r="N348" s="1942"/>
      <c r="O348" s="1942"/>
      <c r="P348" s="1942"/>
      <c r="Q348" s="1942"/>
      <c r="R348" s="1942"/>
      <c r="S348" s="1942"/>
      <c r="T348" s="1942"/>
      <c r="U348" s="1942"/>
      <c r="V348" s="1942"/>
      <c r="W348" s="1942"/>
      <c r="X348" s="1942"/>
      <c r="Y348" s="1942"/>
      <c r="Z348" s="1942"/>
      <c r="AA348" s="1942"/>
      <c r="AB348" s="1942"/>
      <c r="AC348" s="1942"/>
      <c r="AD348" s="1942"/>
      <c r="AE348" s="1942"/>
      <c r="AF348" s="1942"/>
      <c r="AG348" s="1942"/>
      <c r="AH348" s="1942"/>
      <c r="AI348" s="1942"/>
      <c r="AJ348" s="1942"/>
      <c r="AK348" s="637"/>
      <c r="AL348" s="637"/>
      <c r="AM348" s="637"/>
      <c r="AN348" s="631"/>
      <c r="AO348" s="729" t="s">
        <v>119</v>
      </c>
      <c r="AP348" s="730">
        <f>IF(C386="Yes",7,0)</f>
        <v>0</v>
      </c>
      <c r="AS348" s="573" t="s">
        <v>1568</v>
      </c>
    </row>
    <row r="349" spans="1:46" s="584" customFormat="1" ht="12.75" customHeight="1">
      <c r="A349" s="637"/>
      <c r="B349" s="645"/>
      <c r="C349" s="1942"/>
      <c r="D349" s="1942"/>
      <c r="E349" s="1942"/>
      <c r="F349" s="1942"/>
      <c r="G349" s="1942"/>
      <c r="H349" s="1942"/>
      <c r="I349" s="1942"/>
      <c r="J349" s="1942"/>
      <c r="K349" s="1942"/>
      <c r="L349" s="1942"/>
      <c r="M349" s="1942"/>
      <c r="N349" s="1942"/>
      <c r="O349" s="1942"/>
      <c r="P349" s="1942"/>
      <c r="Q349" s="1942"/>
      <c r="R349" s="1942"/>
      <c r="S349" s="1942"/>
      <c r="T349" s="1942"/>
      <c r="U349" s="1942"/>
      <c r="V349" s="1942"/>
      <c r="W349" s="1942"/>
      <c r="X349" s="1942"/>
      <c r="Y349" s="1942"/>
      <c r="Z349" s="1942"/>
      <c r="AA349" s="1942"/>
      <c r="AB349" s="1942"/>
      <c r="AC349" s="1942"/>
      <c r="AD349" s="1942"/>
      <c r="AE349" s="1942"/>
      <c r="AF349" s="1942"/>
      <c r="AG349" s="1942"/>
      <c r="AH349" s="1942"/>
      <c r="AI349" s="1942"/>
      <c r="AJ349" s="1942"/>
      <c r="AK349" s="637"/>
      <c r="AL349" s="637"/>
      <c r="AM349" s="637"/>
      <c r="AN349" s="631"/>
      <c r="AO349" s="631"/>
      <c r="AP349" s="730">
        <f>IF(C388="Yes",5,0)</f>
        <v>5</v>
      </c>
      <c r="AS349" s="1907">
        <f>IF(AND(AQ355&gt;0,AQ364&gt;0),(AQ355+AQ364)/2,0)</f>
        <v>0</v>
      </c>
      <c r="AT349" s="1907"/>
    </row>
    <row r="350" spans="1:46" s="584" customFormat="1" ht="12.75" customHeight="1">
      <c r="A350" s="637"/>
      <c r="B350" s="645"/>
      <c r="C350" s="1942"/>
      <c r="D350" s="1942"/>
      <c r="E350" s="1942"/>
      <c r="F350" s="1942"/>
      <c r="G350" s="1942"/>
      <c r="H350" s="1942"/>
      <c r="I350" s="1942"/>
      <c r="J350" s="1942"/>
      <c r="K350" s="1942"/>
      <c r="L350" s="1942"/>
      <c r="M350" s="1942"/>
      <c r="N350" s="1942"/>
      <c r="O350" s="1942"/>
      <c r="P350" s="1942"/>
      <c r="Q350" s="1942"/>
      <c r="R350" s="1942"/>
      <c r="S350" s="1942"/>
      <c r="T350" s="1942"/>
      <c r="U350" s="1942"/>
      <c r="V350" s="1942"/>
      <c r="W350" s="1942"/>
      <c r="X350" s="1942"/>
      <c r="Y350" s="1942"/>
      <c r="Z350" s="1942"/>
      <c r="AA350" s="1942"/>
      <c r="AB350" s="1942"/>
      <c r="AC350" s="1942"/>
      <c r="AD350" s="1942"/>
      <c r="AE350" s="1942"/>
      <c r="AF350" s="1942"/>
      <c r="AG350" s="1942"/>
      <c r="AH350" s="1942"/>
      <c r="AI350" s="1942"/>
      <c r="AJ350" s="1942"/>
      <c r="AK350" s="637"/>
      <c r="AL350" s="637"/>
      <c r="AM350" s="637"/>
      <c r="AN350" s="631"/>
      <c r="AO350" s="729" t="s">
        <v>590</v>
      </c>
      <c r="AP350" s="730">
        <f>IF(C396="Yes",5,0)</f>
        <v>0</v>
      </c>
      <c r="AS350" s="573" t="s">
        <v>2070</v>
      </c>
    </row>
    <row r="351" spans="1:46" s="584" customFormat="1" ht="12.75" customHeight="1">
      <c r="A351" s="637"/>
      <c r="B351" s="645"/>
      <c r="C351" s="2036" t="s">
        <v>1569</v>
      </c>
      <c r="D351" s="2036"/>
      <c r="E351" s="2036"/>
      <c r="F351" s="2036"/>
      <c r="G351" s="2036"/>
      <c r="H351" s="2036"/>
      <c r="I351" s="2036"/>
      <c r="J351" s="2036"/>
      <c r="K351" s="2036"/>
      <c r="L351" s="2036"/>
      <c r="M351" s="2036"/>
      <c r="N351" s="2036"/>
      <c r="O351" s="2036"/>
      <c r="P351" s="2036"/>
      <c r="Q351" s="2036"/>
      <c r="R351" s="2036"/>
      <c r="S351" s="2036"/>
      <c r="T351" s="2036"/>
      <c r="U351" s="2036"/>
      <c r="V351" s="2036"/>
      <c r="W351" s="2036"/>
      <c r="X351" s="2036"/>
      <c r="Y351" s="2036"/>
      <c r="Z351" s="2036"/>
      <c r="AA351" s="2036"/>
      <c r="AB351" s="2036"/>
      <c r="AC351" s="2036"/>
      <c r="AD351" s="2036"/>
      <c r="AE351" s="2036"/>
      <c r="AF351" s="2036"/>
      <c r="AG351" s="2036"/>
      <c r="AH351" s="2036"/>
      <c r="AI351" s="2036"/>
      <c r="AJ351" s="2036"/>
      <c r="AK351" s="637"/>
      <c r="AL351" s="637"/>
      <c r="AM351" s="637"/>
      <c r="AN351" s="631"/>
      <c r="AO351" s="631"/>
      <c r="AP351" s="730">
        <f>IF(C398="Yes",3,0)</f>
        <v>0</v>
      </c>
      <c r="AS351" s="1907">
        <f>IF(AQ355=0,AQ364,AQ355)</f>
        <v>10</v>
      </c>
      <c r="AT351" s="1907"/>
    </row>
    <row r="352" spans="1:46" s="584" customFormat="1" ht="12.75" customHeight="1">
      <c r="A352" s="637"/>
      <c r="B352" s="645"/>
      <c r="C352" s="2036"/>
      <c r="D352" s="2036"/>
      <c r="E352" s="2036"/>
      <c r="F352" s="2036"/>
      <c r="G352" s="2036"/>
      <c r="H352" s="2036"/>
      <c r="I352" s="2036"/>
      <c r="J352" s="2036"/>
      <c r="K352" s="2036"/>
      <c r="L352" s="2036"/>
      <c r="M352" s="2036"/>
      <c r="N352" s="2036"/>
      <c r="O352" s="2036"/>
      <c r="P352" s="2036"/>
      <c r="Q352" s="2036"/>
      <c r="R352" s="2036"/>
      <c r="S352" s="2036"/>
      <c r="T352" s="2036"/>
      <c r="U352" s="2036"/>
      <c r="V352" s="2036"/>
      <c r="W352" s="2036"/>
      <c r="X352" s="2036"/>
      <c r="Y352" s="2036"/>
      <c r="Z352" s="2036"/>
      <c r="AA352" s="2036"/>
      <c r="AB352" s="2036"/>
      <c r="AC352" s="2036"/>
      <c r="AD352" s="2036"/>
      <c r="AE352" s="2036"/>
      <c r="AF352" s="2036"/>
      <c r="AG352" s="2036"/>
      <c r="AH352" s="2036"/>
      <c r="AI352" s="2036"/>
      <c r="AJ352" s="2036"/>
      <c r="AK352" s="637"/>
      <c r="AL352" s="637"/>
      <c r="AM352" s="637"/>
      <c r="AN352" s="631"/>
      <c r="AO352" s="729" t="s">
        <v>773</v>
      </c>
      <c r="AP352" s="730">
        <f>IF(C401="Yes",5,0)</f>
        <v>0</v>
      </c>
    </row>
    <row r="353" spans="1:81" s="584" customFormat="1" ht="12.75" customHeight="1">
      <c r="A353" s="637"/>
      <c r="B353" s="645"/>
      <c r="C353" s="2036"/>
      <c r="D353" s="2036"/>
      <c r="E353" s="2036"/>
      <c r="F353" s="2036"/>
      <c r="G353" s="2036"/>
      <c r="H353" s="2036"/>
      <c r="I353" s="2036"/>
      <c r="J353" s="2036"/>
      <c r="K353" s="2036"/>
      <c r="L353" s="2036"/>
      <c r="M353" s="2036"/>
      <c r="N353" s="2036"/>
      <c r="O353" s="2036"/>
      <c r="P353" s="2036"/>
      <c r="Q353" s="2036"/>
      <c r="R353" s="2036"/>
      <c r="S353" s="2036"/>
      <c r="T353" s="2036"/>
      <c r="U353" s="2036"/>
      <c r="V353" s="2036"/>
      <c r="W353" s="2036"/>
      <c r="X353" s="2036"/>
      <c r="Y353" s="2036"/>
      <c r="Z353" s="2036"/>
      <c r="AA353" s="2036"/>
      <c r="AB353" s="2036"/>
      <c r="AC353" s="2036"/>
      <c r="AD353" s="2036"/>
      <c r="AE353" s="2036"/>
      <c r="AF353" s="2036"/>
      <c r="AG353" s="2036"/>
      <c r="AH353" s="2036"/>
      <c r="AI353" s="2036"/>
      <c r="AJ353" s="2036"/>
      <c r="AK353" s="637"/>
      <c r="AL353" s="637"/>
      <c r="AM353" s="637"/>
      <c r="AN353" s="631"/>
      <c r="AO353" s="729" t="s">
        <v>593</v>
      </c>
      <c r="AP353" s="730">
        <f>IF(C410="Yes",5,0)</f>
        <v>0</v>
      </c>
    </row>
    <row r="354" spans="1:81" s="584" customFormat="1" ht="11.85" customHeight="1">
      <c r="A354" s="637"/>
      <c r="B354" s="645"/>
      <c r="C354" s="2036"/>
      <c r="D354" s="2036"/>
      <c r="E354" s="2036"/>
      <c r="F354" s="2036"/>
      <c r="G354" s="2036"/>
      <c r="H354" s="2036"/>
      <c r="I354" s="2036"/>
      <c r="J354" s="2036"/>
      <c r="K354" s="2036"/>
      <c r="L354" s="2036"/>
      <c r="M354" s="2036"/>
      <c r="N354" s="2036"/>
      <c r="O354" s="2036"/>
      <c r="P354" s="2036"/>
      <c r="Q354" s="2036"/>
      <c r="R354" s="2036"/>
      <c r="S354" s="2036"/>
      <c r="T354" s="2036"/>
      <c r="U354" s="2036"/>
      <c r="V354" s="2036"/>
      <c r="W354" s="2036"/>
      <c r="X354" s="2036"/>
      <c r="Y354" s="2036"/>
      <c r="Z354" s="2036"/>
      <c r="AA354" s="2036"/>
      <c r="AB354" s="2036"/>
      <c r="AC354" s="2036"/>
      <c r="AD354" s="2036"/>
      <c r="AE354" s="2036"/>
      <c r="AF354" s="2036"/>
      <c r="AG354" s="2036"/>
      <c r="AH354" s="2036"/>
      <c r="AI354" s="2036"/>
      <c r="AJ354" s="2036"/>
      <c r="AK354" s="637"/>
      <c r="AL354" s="637"/>
      <c r="AM354" s="637"/>
      <c r="AN354" s="631"/>
      <c r="AO354" s="731"/>
      <c r="AP354" s="732">
        <f>IF(C412="Yes",3,0)</f>
        <v>0</v>
      </c>
    </row>
    <row r="355" spans="1:81" s="584" customFormat="1" ht="12.4" customHeight="1">
      <c r="A355" s="637"/>
      <c r="B355" s="645"/>
      <c r="C355" s="2036"/>
      <c r="D355" s="2036"/>
      <c r="E355" s="2036"/>
      <c r="F355" s="2036"/>
      <c r="G355" s="2036"/>
      <c r="H355" s="2036"/>
      <c r="I355" s="2036"/>
      <c r="J355" s="2036"/>
      <c r="K355" s="2036"/>
      <c r="L355" s="2036"/>
      <c r="M355" s="2036"/>
      <c r="N355" s="2036"/>
      <c r="O355" s="2036"/>
      <c r="P355" s="2036"/>
      <c r="Q355" s="2036"/>
      <c r="R355" s="2036"/>
      <c r="S355" s="2036"/>
      <c r="T355" s="2036"/>
      <c r="U355" s="2036"/>
      <c r="V355" s="2036"/>
      <c r="W355" s="2036"/>
      <c r="X355" s="2036"/>
      <c r="Y355" s="2036"/>
      <c r="Z355" s="2036"/>
      <c r="AA355" s="2036"/>
      <c r="AB355" s="2036"/>
      <c r="AC355" s="2036"/>
      <c r="AD355" s="2036"/>
      <c r="AE355" s="2036"/>
      <c r="AF355" s="2036"/>
      <c r="AG355" s="2036"/>
      <c r="AH355" s="2036"/>
      <c r="AI355" s="2036"/>
      <c r="AJ355" s="2036"/>
      <c r="AK355" s="637"/>
      <c r="AL355" s="637"/>
      <c r="AM355" s="637"/>
      <c r="AN355" s="631"/>
      <c r="AO355" s="733" t="s">
        <v>228</v>
      </c>
      <c r="AP355" s="734">
        <f>SUM(AP346:AP354)</f>
        <v>10</v>
      </c>
      <c r="AQ355" s="1945">
        <f>IF(AP355&gt;0,AP355,0)</f>
        <v>10</v>
      </c>
      <c r="AR355" s="1945"/>
    </row>
    <row r="356" spans="1:81" s="584" customFormat="1" ht="12.75" customHeight="1">
      <c r="A356" s="637"/>
      <c r="B356" s="645"/>
      <c r="C356" s="2036"/>
      <c r="D356" s="2036"/>
      <c r="E356" s="2036"/>
      <c r="F356" s="2036"/>
      <c r="G356" s="2036"/>
      <c r="H356" s="2036"/>
      <c r="I356" s="2036"/>
      <c r="J356" s="2036"/>
      <c r="K356" s="2036"/>
      <c r="L356" s="2036"/>
      <c r="M356" s="2036"/>
      <c r="N356" s="2036"/>
      <c r="O356" s="2036"/>
      <c r="P356" s="2036"/>
      <c r="Q356" s="2036"/>
      <c r="R356" s="2036"/>
      <c r="S356" s="2036"/>
      <c r="T356" s="2036"/>
      <c r="U356" s="2036"/>
      <c r="V356" s="2036"/>
      <c r="W356" s="2036"/>
      <c r="X356" s="2036"/>
      <c r="Y356" s="2036"/>
      <c r="Z356" s="2036"/>
      <c r="AA356" s="2036"/>
      <c r="AB356" s="2036"/>
      <c r="AC356" s="2036"/>
      <c r="AD356" s="2036"/>
      <c r="AE356" s="2036"/>
      <c r="AF356" s="2036"/>
      <c r="AG356" s="2036"/>
      <c r="AH356" s="2036"/>
      <c r="AI356" s="2036"/>
      <c r="AJ356" s="2036"/>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1942" t="s">
        <v>1570</v>
      </c>
      <c r="D358" s="1942"/>
      <c r="E358" s="1942"/>
      <c r="F358" s="1942"/>
      <c r="G358" s="1942"/>
      <c r="H358" s="1942"/>
      <c r="I358" s="1942"/>
      <c r="J358" s="1942"/>
      <c r="K358" s="1942"/>
      <c r="L358" s="1942"/>
      <c r="M358" s="1942"/>
      <c r="N358" s="1942"/>
      <c r="O358" s="1942"/>
      <c r="P358" s="1942"/>
      <c r="Q358" s="1942"/>
      <c r="R358" s="1942"/>
      <c r="S358" s="1942"/>
      <c r="T358" s="1942"/>
      <c r="U358" s="1942"/>
      <c r="V358" s="1942"/>
      <c r="W358" s="1942"/>
      <c r="X358" s="1942"/>
      <c r="Y358" s="1942"/>
      <c r="Z358" s="1942"/>
      <c r="AA358" s="1942"/>
      <c r="AB358" s="1942"/>
      <c r="AC358" s="1942"/>
      <c r="AD358" s="1942"/>
      <c r="AE358" s="1942"/>
      <c r="AF358" s="1942"/>
      <c r="AG358" s="1942"/>
      <c r="AH358" s="1942"/>
      <c r="AI358" s="1942"/>
      <c r="AJ358" s="1942"/>
      <c r="AK358" s="637"/>
      <c r="AL358" s="637"/>
      <c r="AM358" s="637"/>
      <c r="AN358" s="631"/>
      <c r="AO358" s="729" t="s">
        <v>465</v>
      </c>
      <c r="AP358" s="730">
        <f>IF(C431="Yes",5,0)</f>
        <v>0</v>
      </c>
    </row>
    <row r="359" spans="1:81" s="584" customFormat="1" ht="12.75" customHeight="1">
      <c r="A359" s="637"/>
      <c r="B359" s="645"/>
      <c r="C359" s="1942"/>
      <c r="D359" s="1942"/>
      <c r="E359" s="1942"/>
      <c r="F359" s="1942"/>
      <c r="G359" s="1942"/>
      <c r="H359" s="1942"/>
      <c r="I359" s="1942"/>
      <c r="J359" s="1942"/>
      <c r="K359" s="1942"/>
      <c r="L359" s="1942"/>
      <c r="M359" s="1942"/>
      <c r="N359" s="1942"/>
      <c r="O359" s="1942"/>
      <c r="P359" s="1942"/>
      <c r="Q359" s="1942"/>
      <c r="R359" s="1942"/>
      <c r="S359" s="1942"/>
      <c r="T359" s="1942"/>
      <c r="U359" s="1942"/>
      <c r="V359" s="1942"/>
      <c r="W359" s="1942"/>
      <c r="X359" s="1942"/>
      <c r="Y359" s="1942"/>
      <c r="Z359" s="1942"/>
      <c r="AA359" s="1942"/>
      <c r="AB359" s="1942"/>
      <c r="AC359" s="1942"/>
      <c r="AD359" s="1942"/>
      <c r="AE359" s="1942"/>
      <c r="AF359" s="1942"/>
      <c r="AG359" s="1942"/>
      <c r="AH359" s="1942"/>
      <c r="AI359" s="1942"/>
      <c r="AJ359" s="1942"/>
      <c r="AK359" s="637"/>
      <c r="AL359" s="637"/>
      <c r="AM359" s="637"/>
      <c r="AN359" s="631"/>
      <c r="AO359" s="729" t="s">
        <v>470</v>
      </c>
      <c r="AP359" s="730">
        <f>IF(C438="Yes",5,0)</f>
        <v>0</v>
      </c>
    </row>
    <row r="360" spans="1:81" s="584" customFormat="1" ht="68.099999999999994" customHeight="1">
      <c r="A360" s="637"/>
      <c r="B360" s="645"/>
      <c r="C360" s="1942"/>
      <c r="D360" s="1942"/>
      <c r="E360" s="1942"/>
      <c r="F360" s="1942"/>
      <c r="G360" s="1942"/>
      <c r="H360" s="1942"/>
      <c r="I360" s="1942"/>
      <c r="J360" s="1942"/>
      <c r="K360" s="1942"/>
      <c r="L360" s="1942"/>
      <c r="M360" s="1942"/>
      <c r="N360" s="1942"/>
      <c r="O360" s="1942"/>
      <c r="P360" s="1942"/>
      <c r="Q360" s="1942"/>
      <c r="R360" s="1942"/>
      <c r="S360" s="1942"/>
      <c r="T360" s="1942"/>
      <c r="U360" s="1942"/>
      <c r="V360" s="1942"/>
      <c r="W360" s="1942"/>
      <c r="X360" s="1942"/>
      <c r="Y360" s="1942"/>
      <c r="Z360" s="1942"/>
      <c r="AA360" s="1942"/>
      <c r="AB360" s="1942"/>
      <c r="AC360" s="1942"/>
      <c r="AD360" s="1942"/>
      <c r="AE360" s="1942"/>
      <c r="AF360" s="1942"/>
      <c r="AG360" s="1942"/>
      <c r="AH360" s="1942"/>
      <c r="AI360" s="1942"/>
      <c r="AJ360" s="1942"/>
      <c r="AK360" s="637"/>
      <c r="AL360" s="637"/>
      <c r="AM360" s="637"/>
      <c r="AN360" s="631"/>
      <c r="AO360" s="729" t="s">
        <v>655</v>
      </c>
      <c r="AP360" s="735">
        <f>IF(C442="Yes",5,0)</f>
        <v>0</v>
      </c>
    </row>
    <row r="361" spans="1:81" s="584" customFormat="1" ht="12.4" customHeight="1">
      <c r="A361" s="637"/>
      <c r="B361" s="645"/>
      <c r="C361" s="584" t="s">
        <v>1571</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2574</v>
      </c>
      <c r="D362" s="737"/>
      <c r="E362" s="737"/>
      <c r="F362" s="737"/>
      <c r="G362" s="737"/>
      <c r="H362" s="737"/>
      <c r="I362" s="737"/>
      <c r="J362" s="737"/>
      <c r="K362" s="737"/>
      <c r="L362" s="737"/>
      <c r="M362" s="701"/>
      <c r="N362" s="701"/>
      <c r="O362" s="738"/>
      <c r="P362" s="737"/>
      <c r="Q362" s="737"/>
      <c r="R362" s="701"/>
      <c r="S362" s="701"/>
      <c r="T362" s="737"/>
      <c r="U362" s="1943">
        <f>Application!CS660-U363</f>
        <v>269</v>
      </c>
      <c r="V362" s="1943"/>
      <c r="W362" s="1943"/>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2575</v>
      </c>
      <c r="D363" s="728"/>
      <c r="E363" s="728"/>
      <c r="F363" s="728"/>
      <c r="G363" s="728"/>
      <c r="H363" s="728"/>
      <c r="I363" s="728"/>
      <c r="J363" s="728"/>
      <c r="K363" s="728"/>
      <c r="L363" s="728"/>
      <c r="M363" s="728"/>
      <c r="N363" s="728"/>
      <c r="O363" s="728"/>
      <c r="P363" s="728"/>
      <c r="Q363" s="728"/>
      <c r="R363" s="728"/>
      <c r="S363" s="728"/>
      <c r="T363" s="728"/>
      <c r="U363" s="1944">
        <f>IF(Application!D211="SRO",Application!CS634,Application!AG756)</f>
        <v>0</v>
      </c>
      <c r="V363" s="1944"/>
      <c r="W363" s="1944"/>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1945">
        <f>IF(AP364&gt;0,AP364,0)</f>
        <v>0</v>
      </c>
      <c r="AR364" s="1945"/>
    </row>
    <row r="365" spans="1:81" s="584" customFormat="1" ht="12.75" customHeight="1">
      <c r="A365" s="637"/>
      <c r="B365" s="14"/>
      <c r="C365" s="746" t="s">
        <v>2572</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1426</v>
      </c>
      <c r="F366" s="1936" t="s">
        <v>1572</v>
      </c>
      <c r="G366" s="1936"/>
      <c r="H366" s="1936"/>
      <c r="I366" s="1936"/>
      <c r="J366" s="1936"/>
      <c r="K366" s="1936"/>
      <c r="L366" s="1936"/>
      <c r="M366" s="1936"/>
      <c r="N366" s="1936"/>
      <c r="O366" s="1936"/>
      <c r="P366" s="1936"/>
      <c r="Q366" s="1936"/>
      <c r="R366" s="1936"/>
      <c r="S366" s="1936"/>
      <c r="T366" s="1936"/>
      <c r="U366" s="1936"/>
      <c r="V366" s="1936"/>
      <c r="W366" s="1936"/>
      <c r="X366" s="1936"/>
      <c r="Y366" s="1936"/>
      <c r="Z366" s="1936"/>
      <c r="AA366" s="1936"/>
      <c r="AB366" s="1936"/>
      <c r="AC366" s="1936"/>
      <c r="AD366" s="1936"/>
      <c r="AE366" s="1936"/>
      <c r="AF366" s="1936"/>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37"/>
      <c r="G367" s="1937"/>
      <c r="H367" s="1937"/>
      <c r="I367" s="1937"/>
      <c r="J367" s="1937"/>
      <c r="K367" s="1937"/>
      <c r="L367" s="1937"/>
      <c r="M367" s="1937"/>
      <c r="N367" s="1937"/>
      <c r="O367" s="1937"/>
      <c r="P367" s="1937"/>
      <c r="Q367" s="1937"/>
      <c r="R367" s="1937"/>
      <c r="S367" s="1937"/>
      <c r="T367" s="1937"/>
      <c r="U367" s="1937"/>
      <c r="V367" s="1937"/>
      <c r="W367" s="1937"/>
      <c r="X367" s="1937"/>
      <c r="Y367" s="1937"/>
      <c r="Z367" s="1937"/>
      <c r="AA367" s="1937"/>
      <c r="AB367" s="1937"/>
      <c r="AC367" s="1937"/>
      <c r="AD367" s="1937"/>
      <c r="AE367" s="1937"/>
      <c r="AF367" s="1937"/>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37"/>
      <c r="G368" s="1937"/>
      <c r="H368" s="1937"/>
      <c r="I368" s="1937"/>
      <c r="J368" s="1937"/>
      <c r="K368" s="1937"/>
      <c r="L368" s="1937"/>
      <c r="M368" s="1937"/>
      <c r="N368" s="1937"/>
      <c r="O368" s="1937"/>
      <c r="P368" s="1937"/>
      <c r="Q368" s="1937"/>
      <c r="R368" s="1937"/>
      <c r="S368" s="1937"/>
      <c r="T368" s="1937"/>
      <c r="U368" s="1937"/>
      <c r="V368" s="1937"/>
      <c r="W368" s="1937"/>
      <c r="X368" s="1937"/>
      <c r="Y368" s="1937"/>
      <c r="Z368" s="1937"/>
      <c r="AA368" s="1937"/>
      <c r="AB368" s="1937"/>
      <c r="AC368" s="1937"/>
      <c r="AD368" s="1937"/>
      <c r="AE368" s="1937"/>
      <c r="AF368" s="1937"/>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37"/>
      <c r="G369" s="1937"/>
      <c r="H369" s="1937"/>
      <c r="I369" s="1937"/>
      <c r="J369" s="1937"/>
      <c r="K369" s="1937"/>
      <c r="L369" s="1937"/>
      <c r="M369" s="1937"/>
      <c r="N369" s="1937"/>
      <c r="O369" s="1937"/>
      <c r="P369" s="1937"/>
      <c r="Q369" s="1937"/>
      <c r="R369" s="1937"/>
      <c r="S369" s="1937"/>
      <c r="T369" s="1937"/>
      <c r="U369" s="1937"/>
      <c r="V369" s="1937"/>
      <c r="W369" s="1937"/>
      <c r="X369" s="1937"/>
      <c r="Y369" s="1937"/>
      <c r="Z369" s="1937"/>
      <c r="AA369" s="1937"/>
      <c r="AB369" s="1937"/>
      <c r="AC369" s="1937"/>
      <c r="AD369" s="1937"/>
      <c r="AE369" s="1937"/>
      <c r="AF369" s="1937"/>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46" t="s">
        <v>554</v>
      </c>
      <c r="D370" s="1947"/>
      <c r="E370" s="753"/>
      <c r="F370" s="755" t="s">
        <v>1573</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35" t="s">
        <v>1574</v>
      </c>
      <c r="AG370" s="1935"/>
      <c r="AH370" s="1935"/>
      <c r="AI370" s="1935"/>
      <c r="AJ370" s="1935"/>
      <c r="AK370" s="1935"/>
      <c r="AL370" s="1948"/>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1428</v>
      </c>
      <c r="F373" s="1936" t="s">
        <v>1575</v>
      </c>
      <c r="G373" s="1936"/>
      <c r="H373" s="1936"/>
      <c r="I373" s="1936"/>
      <c r="J373" s="1936"/>
      <c r="K373" s="1936"/>
      <c r="L373" s="1936"/>
      <c r="M373" s="1936"/>
      <c r="N373" s="1936"/>
      <c r="O373" s="1936"/>
      <c r="P373" s="1936"/>
      <c r="Q373" s="1936"/>
      <c r="R373" s="1936"/>
      <c r="S373" s="1936"/>
      <c r="T373" s="1936"/>
      <c r="U373" s="1936"/>
      <c r="V373" s="1936"/>
      <c r="W373" s="1936"/>
      <c r="X373" s="1936"/>
      <c r="Y373" s="1936"/>
      <c r="Z373" s="1936"/>
      <c r="AA373" s="1936"/>
      <c r="AB373" s="1936"/>
      <c r="AC373" s="1936"/>
      <c r="AD373" s="1936"/>
      <c r="AE373" s="1936"/>
      <c r="AF373" s="1936"/>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37"/>
      <c r="G374" s="1937"/>
      <c r="H374" s="1937"/>
      <c r="I374" s="1937"/>
      <c r="J374" s="1937"/>
      <c r="K374" s="1937"/>
      <c r="L374" s="1937"/>
      <c r="M374" s="1937"/>
      <c r="N374" s="1937"/>
      <c r="O374" s="1937"/>
      <c r="P374" s="1937"/>
      <c r="Q374" s="1937"/>
      <c r="R374" s="1937"/>
      <c r="S374" s="1937"/>
      <c r="T374" s="1937"/>
      <c r="U374" s="1937"/>
      <c r="V374" s="1937"/>
      <c r="W374" s="1937"/>
      <c r="X374" s="1937"/>
      <c r="Y374" s="1937"/>
      <c r="Z374" s="1937"/>
      <c r="AA374" s="1937"/>
      <c r="AB374" s="1937"/>
      <c r="AC374" s="1937"/>
      <c r="AD374" s="1937"/>
      <c r="AE374" s="1937"/>
      <c r="AF374" s="1937"/>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37"/>
      <c r="G375" s="1937"/>
      <c r="H375" s="1937"/>
      <c r="I375" s="1937"/>
      <c r="J375" s="1937"/>
      <c r="K375" s="1937"/>
      <c r="L375" s="1937"/>
      <c r="M375" s="1937"/>
      <c r="N375" s="1937"/>
      <c r="O375" s="1937"/>
      <c r="P375" s="1937"/>
      <c r="Q375" s="1937"/>
      <c r="R375" s="1937"/>
      <c r="S375" s="1937"/>
      <c r="T375" s="1937"/>
      <c r="U375" s="1937"/>
      <c r="V375" s="1937"/>
      <c r="W375" s="1937"/>
      <c r="X375" s="1937"/>
      <c r="Y375" s="1937"/>
      <c r="Z375" s="1937"/>
      <c r="AA375" s="1937"/>
      <c r="AB375" s="1937"/>
      <c r="AC375" s="1937"/>
      <c r="AD375" s="1937"/>
      <c r="AE375" s="1937"/>
      <c r="AF375" s="1937"/>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37"/>
      <c r="G376" s="1937"/>
      <c r="H376" s="1937"/>
      <c r="I376" s="1937"/>
      <c r="J376" s="1937"/>
      <c r="K376" s="1937"/>
      <c r="L376" s="1937"/>
      <c r="M376" s="1937"/>
      <c r="N376" s="1937"/>
      <c r="O376" s="1937"/>
      <c r="P376" s="1937"/>
      <c r="Q376" s="1937"/>
      <c r="R376" s="1937"/>
      <c r="S376" s="1937"/>
      <c r="T376" s="1937"/>
      <c r="U376" s="1937"/>
      <c r="V376" s="1937"/>
      <c r="W376" s="1937"/>
      <c r="X376" s="1937"/>
      <c r="Y376" s="1937"/>
      <c r="Z376" s="1937"/>
      <c r="AA376" s="1937"/>
      <c r="AB376" s="1937"/>
      <c r="AC376" s="1937"/>
      <c r="AD376" s="1937"/>
      <c r="AE376" s="1937"/>
      <c r="AF376" s="1937"/>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37"/>
      <c r="G377" s="1937"/>
      <c r="H377" s="1937"/>
      <c r="I377" s="1937"/>
      <c r="J377" s="1937"/>
      <c r="K377" s="1937"/>
      <c r="L377" s="1937"/>
      <c r="M377" s="1937"/>
      <c r="N377" s="1937"/>
      <c r="O377" s="1937"/>
      <c r="P377" s="1937"/>
      <c r="Q377" s="1937"/>
      <c r="R377" s="1937"/>
      <c r="S377" s="1937"/>
      <c r="T377" s="1937"/>
      <c r="U377" s="1937"/>
      <c r="V377" s="1937"/>
      <c r="W377" s="1937"/>
      <c r="X377" s="1937"/>
      <c r="Y377" s="1937"/>
      <c r="Z377" s="1937"/>
      <c r="AA377" s="1937"/>
      <c r="AB377" s="1937"/>
      <c r="AC377" s="1937"/>
      <c r="AD377" s="1937"/>
      <c r="AE377" s="1937"/>
      <c r="AF377" s="1937"/>
      <c r="AL377" s="766"/>
      <c r="AN377" s="631"/>
      <c r="BS377" s="30"/>
      <c r="BT377" s="30"/>
      <c r="BU377" s="14"/>
      <c r="BV377" s="14"/>
      <c r="BW377" s="14"/>
      <c r="BX377" s="14"/>
      <c r="BY377" s="14"/>
      <c r="BZ377" s="14"/>
      <c r="CA377" s="14"/>
      <c r="CB377" s="14"/>
      <c r="CC377" s="14"/>
    </row>
    <row r="378" spans="1:81" s="584" customFormat="1" ht="12.75" customHeight="1">
      <c r="A378" s="570"/>
      <c r="B378" s="14"/>
      <c r="C378" s="1946" t="s">
        <v>600</v>
      </c>
      <c r="D378" s="1947"/>
      <c r="E378" s="725"/>
      <c r="F378" s="755" t="s">
        <v>1576</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35" t="s">
        <v>1574</v>
      </c>
      <c r="AG378" s="1935"/>
      <c r="AH378" s="1935"/>
      <c r="AI378" s="1935"/>
      <c r="AJ378" s="1935"/>
      <c r="AK378" s="1935"/>
      <c r="AL378" s="1948"/>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1431</v>
      </c>
      <c r="F381" s="1936" t="s">
        <v>1577</v>
      </c>
      <c r="G381" s="1936"/>
      <c r="H381" s="1936"/>
      <c r="I381" s="1936"/>
      <c r="J381" s="1936"/>
      <c r="K381" s="1936"/>
      <c r="L381" s="1936"/>
      <c r="M381" s="1936"/>
      <c r="N381" s="1936"/>
      <c r="O381" s="1936"/>
      <c r="P381" s="1936"/>
      <c r="Q381" s="1936"/>
      <c r="R381" s="1936"/>
      <c r="S381" s="1936"/>
      <c r="T381" s="1936"/>
      <c r="U381" s="1936"/>
      <c r="V381" s="1936"/>
      <c r="W381" s="1936"/>
      <c r="X381" s="1936"/>
      <c r="Y381" s="1936"/>
      <c r="Z381" s="1936"/>
      <c r="AA381" s="1936"/>
      <c r="AB381" s="1936"/>
      <c r="AC381" s="1936"/>
      <c r="AD381" s="1936"/>
      <c r="AE381" s="1936"/>
      <c r="AF381" s="1936"/>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37"/>
      <c r="G382" s="1937"/>
      <c r="H382" s="1937"/>
      <c r="I382" s="1937"/>
      <c r="J382" s="1937"/>
      <c r="K382" s="1937"/>
      <c r="L382" s="1937"/>
      <c r="M382" s="1937"/>
      <c r="N382" s="1937"/>
      <c r="O382" s="1937"/>
      <c r="P382" s="1937"/>
      <c r="Q382" s="1937"/>
      <c r="R382" s="1937"/>
      <c r="S382" s="1937"/>
      <c r="T382" s="1937"/>
      <c r="U382" s="1937"/>
      <c r="V382" s="1937"/>
      <c r="W382" s="1937"/>
      <c r="X382" s="1937"/>
      <c r="Y382" s="1937"/>
      <c r="Z382" s="1937"/>
      <c r="AA382" s="1937"/>
      <c r="AB382" s="1937"/>
      <c r="AC382" s="1937"/>
      <c r="AD382" s="1937"/>
      <c r="AE382" s="1937"/>
      <c r="AF382" s="1937"/>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37"/>
      <c r="G383" s="1937"/>
      <c r="H383" s="1937"/>
      <c r="I383" s="1937"/>
      <c r="J383" s="1937"/>
      <c r="K383" s="1937"/>
      <c r="L383" s="1937"/>
      <c r="M383" s="1937"/>
      <c r="N383" s="1937"/>
      <c r="O383" s="1937"/>
      <c r="P383" s="1937"/>
      <c r="Q383" s="1937"/>
      <c r="R383" s="1937"/>
      <c r="S383" s="1937"/>
      <c r="T383" s="1937"/>
      <c r="U383" s="1937"/>
      <c r="V383" s="1937"/>
      <c r="W383" s="1937"/>
      <c r="X383" s="1937"/>
      <c r="Y383" s="1937"/>
      <c r="Z383" s="1937"/>
      <c r="AA383" s="1937"/>
      <c r="AB383" s="1937"/>
      <c r="AC383" s="1937"/>
      <c r="AD383" s="1937"/>
      <c r="AE383" s="1937"/>
      <c r="AF383" s="1937"/>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37"/>
      <c r="G384" s="1937"/>
      <c r="H384" s="1937"/>
      <c r="I384" s="1937"/>
      <c r="J384" s="1937"/>
      <c r="K384" s="1937"/>
      <c r="L384" s="1937"/>
      <c r="M384" s="1937"/>
      <c r="N384" s="1937"/>
      <c r="O384" s="1937"/>
      <c r="P384" s="1937"/>
      <c r="Q384" s="1937"/>
      <c r="R384" s="1937"/>
      <c r="S384" s="1937"/>
      <c r="T384" s="1937"/>
      <c r="U384" s="1937"/>
      <c r="V384" s="1937"/>
      <c r="W384" s="1937"/>
      <c r="X384" s="1937"/>
      <c r="Y384" s="1937"/>
      <c r="Z384" s="1937"/>
      <c r="AA384" s="1937"/>
      <c r="AB384" s="1937"/>
      <c r="AC384" s="1937"/>
      <c r="AD384" s="1937"/>
      <c r="AE384" s="1937"/>
      <c r="AF384" s="1937"/>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37"/>
      <c r="G385" s="1937"/>
      <c r="H385" s="1937"/>
      <c r="I385" s="1937"/>
      <c r="J385" s="1937"/>
      <c r="K385" s="1937"/>
      <c r="L385" s="1937"/>
      <c r="M385" s="1937"/>
      <c r="N385" s="1937"/>
      <c r="O385" s="1937"/>
      <c r="P385" s="1937"/>
      <c r="Q385" s="1937"/>
      <c r="R385" s="1937"/>
      <c r="S385" s="1937"/>
      <c r="T385" s="1937"/>
      <c r="U385" s="1937"/>
      <c r="V385" s="1937"/>
      <c r="W385" s="1937"/>
      <c r="X385" s="1937"/>
      <c r="Y385" s="1937"/>
      <c r="Z385" s="1937"/>
      <c r="AA385" s="1937"/>
      <c r="AB385" s="1937"/>
      <c r="AC385" s="1937"/>
      <c r="AD385" s="1937"/>
      <c r="AE385" s="1937"/>
      <c r="AF385" s="1937"/>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46" t="s">
        <v>600</v>
      </c>
      <c r="D386" s="1947"/>
      <c r="E386" s="725"/>
      <c r="F386" s="755" t="s">
        <v>1578</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35" t="s">
        <v>1579</v>
      </c>
      <c r="AG386" s="1935"/>
      <c r="AH386" s="1935"/>
      <c r="AI386" s="1935"/>
      <c r="AJ386" s="1935"/>
      <c r="AK386" s="1935"/>
      <c r="AL386" s="1948"/>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46" t="s">
        <v>554</v>
      </c>
      <c r="D388" s="1947"/>
      <c r="E388" s="725"/>
      <c r="F388" s="772" t="s">
        <v>1580</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35" t="s">
        <v>1574</v>
      </c>
      <c r="AG388" s="1935"/>
      <c r="AH388" s="1935"/>
      <c r="AI388" s="1935"/>
      <c r="AJ388" s="1935"/>
      <c r="AK388" s="1935"/>
      <c r="AL388" s="1948"/>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1581</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1582</v>
      </c>
      <c r="F392" s="1936" t="s">
        <v>1583</v>
      </c>
      <c r="G392" s="1936"/>
      <c r="H392" s="1936"/>
      <c r="I392" s="1936"/>
      <c r="J392" s="1936"/>
      <c r="K392" s="1936"/>
      <c r="L392" s="1936"/>
      <c r="M392" s="1936"/>
      <c r="N392" s="1936"/>
      <c r="O392" s="1936"/>
      <c r="P392" s="1936"/>
      <c r="Q392" s="1936"/>
      <c r="R392" s="1936"/>
      <c r="S392" s="1936"/>
      <c r="T392" s="1936"/>
      <c r="U392" s="1936"/>
      <c r="V392" s="1936"/>
      <c r="W392" s="1936"/>
      <c r="X392" s="1936"/>
      <c r="Y392" s="1936"/>
      <c r="Z392" s="1936"/>
      <c r="AA392" s="1936"/>
      <c r="AB392" s="1936"/>
      <c r="AC392" s="1936"/>
      <c r="AD392" s="1936"/>
      <c r="AE392" s="1936"/>
      <c r="AF392" s="1936"/>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37"/>
      <c r="G393" s="1937"/>
      <c r="H393" s="1937"/>
      <c r="I393" s="1937"/>
      <c r="J393" s="1937"/>
      <c r="K393" s="1937"/>
      <c r="L393" s="1937"/>
      <c r="M393" s="1937"/>
      <c r="N393" s="1937"/>
      <c r="O393" s="1937"/>
      <c r="P393" s="1937"/>
      <c r="Q393" s="1937"/>
      <c r="R393" s="1937"/>
      <c r="S393" s="1937"/>
      <c r="T393" s="1937"/>
      <c r="U393" s="1937"/>
      <c r="V393" s="1937"/>
      <c r="W393" s="1937"/>
      <c r="X393" s="1937"/>
      <c r="Y393" s="1937"/>
      <c r="Z393" s="1937"/>
      <c r="AA393" s="1937"/>
      <c r="AB393" s="1937"/>
      <c r="AC393" s="1937"/>
      <c r="AD393" s="1937"/>
      <c r="AE393" s="1937"/>
      <c r="AF393" s="1937"/>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37"/>
      <c r="G394" s="1937"/>
      <c r="H394" s="1937"/>
      <c r="I394" s="1937"/>
      <c r="J394" s="1937"/>
      <c r="K394" s="1937"/>
      <c r="L394" s="1937"/>
      <c r="M394" s="1937"/>
      <c r="N394" s="1937"/>
      <c r="O394" s="1937"/>
      <c r="P394" s="1937"/>
      <c r="Q394" s="1937"/>
      <c r="R394" s="1937"/>
      <c r="S394" s="1937"/>
      <c r="T394" s="1937"/>
      <c r="U394" s="1937"/>
      <c r="V394" s="1937"/>
      <c r="W394" s="1937"/>
      <c r="X394" s="1937"/>
      <c r="Y394" s="1937"/>
      <c r="Z394" s="1937"/>
      <c r="AA394" s="1937"/>
      <c r="AB394" s="1937"/>
      <c r="AC394" s="1937"/>
      <c r="AD394" s="1937"/>
      <c r="AE394" s="1937"/>
      <c r="AF394" s="1937"/>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37"/>
      <c r="G395" s="1937"/>
      <c r="H395" s="1937"/>
      <c r="I395" s="1937"/>
      <c r="J395" s="1937"/>
      <c r="K395" s="1937"/>
      <c r="L395" s="1937"/>
      <c r="M395" s="1937"/>
      <c r="N395" s="1937"/>
      <c r="O395" s="1937"/>
      <c r="P395" s="1937"/>
      <c r="Q395" s="1937"/>
      <c r="R395" s="1937"/>
      <c r="S395" s="1937"/>
      <c r="T395" s="1937"/>
      <c r="U395" s="1937"/>
      <c r="V395" s="1937"/>
      <c r="W395" s="1937"/>
      <c r="X395" s="1937"/>
      <c r="Y395" s="1937"/>
      <c r="Z395" s="1937"/>
      <c r="AA395" s="1937"/>
      <c r="AB395" s="1937"/>
      <c r="AC395" s="1937"/>
      <c r="AD395" s="1937"/>
      <c r="AE395" s="1937"/>
      <c r="AF395" s="1937"/>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46" t="s">
        <v>600</v>
      </c>
      <c r="D396" s="1947"/>
      <c r="E396" s="725"/>
      <c r="F396" s="755" t="s">
        <v>1584</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35" t="s">
        <v>1574</v>
      </c>
      <c r="AG396" s="1935"/>
      <c r="AH396" s="1935"/>
      <c r="AI396" s="1935"/>
      <c r="AJ396" s="1935"/>
      <c r="AK396" s="1935"/>
      <c r="AL396" s="1948"/>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46" t="s">
        <v>600</v>
      </c>
      <c r="D398" s="1947"/>
      <c r="E398" s="753"/>
      <c r="F398" s="755" t="s">
        <v>1585</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35" t="s">
        <v>1586</v>
      </c>
      <c r="AG398" s="1935"/>
      <c r="AH398" s="1935"/>
      <c r="AI398" s="1935"/>
      <c r="AJ398" s="1935"/>
      <c r="AK398" s="1935"/>
      <c r="AL398" s="1948"/>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46" t="s">
        <v>600</v>
      </c>
      <c r="D401" s="1947"/>
      <c r="E401" s="749" t="s">
        <v>1587</v>
      </c>
      <c r="F401" s="1936" t="s">
        <v>1588</v>
      </c>
      <c r="G401" s="1936"/>
      <c r="H401" s="1936"/>
      <c r="I401" s="1936"/>
      <c r="J401" s="1936"/>
      <c r="K401" s="1936"/>
      <c r="L401" s="1936"/>
      <c r="M401" s="1936"/>
      <c r="N401" s="1936"/>
      <c r="O401" s="1936"/>
      <c r="P401" s="1936"/>
      <c r="Q401" s="1936"/>
      <c r="R401" s="1936"/>
      <c r="S401" s="1936"/>
      <c r="T401" s="1936"/>
      <c r="U401" s="1936"/>
      <c r="V401" s="1936"/>
      <c r="W401" s="1936"/>
      <c r="X401" s="1936"/>
      <c r="Y401" s="1936"/>
      <c r="Z401" s="1936"/>
      <c r="AA401" s="1936"/>
      <c r="AB401" s="1936"/>
      <c r="AC401" s="1936"/>
      <c r="AD401" s="1936"/>
      <c r="AE401" s="1936"/>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37"/>
      <c r="G402" s="1937"/>
      <c r="H402" s="1937"/>
      <c r="I402" s="1937"/>
      <c r="J402" s="1937"/>
      <c r="K402" s="1937"/>
      <c r="L402" s="1937"/>
      <c r="M402" s="1937"/>
      <c r="N402" s="1937"/>
      <c r="O402" s="1937"/>
      <c r="P402" s="1937"/>
      <c r="Q402" s="1937"/>
      <c r="R402" s="1937"/>
      <c r="S402" s="1937"/>
      <c r="T402" s="1937"/>
      <c r="U402" s="1937"/>
      <c r="V402" s="1937"/>
      <c r="W402" s="1937"/>
      <c r="X402" s="1937"/>
      <c r="Y402" s="1937"/>
      <c r="Z402" s="1937"/>
      <c r="AA402" s="1937"/>
      <c r="AB402" s="1937"/>
      <c r="AC402" s="1937"/>
      <c r="AD402" s="1937"/>
      <c r="AE402" s="1937"/>
      <c r="AF402" s="2005" t="s">
        <v>1574</v>
      </c>
      <c r="AG402" s="2005"/>
      <c r="AH402" s="2005"/>
      <c r="AI402" s="2005"/>
      <c r="AJ402" s="2005"/>
      <c r="AK402" s="2005"/>
      <c r="AL402" s="2035"/>
      <c r="AM402" s="604"/>
      <c r="AN402" s="631"/>
      <c r="BS402" s="604"/>
      <c r="BT402" s="604"/>
      <c r="BY402" s="604"/>
      <c r="BZ402" s="604"/>
      <c r="CA402" s="604"/>
      <c r="CB402" s="604"/>
      <c r="CC402" s="604"/>
    </row>
    <row r="403" spans="1:81" s="584" customFormat="1" ht="12.75" customHeight="1">
      <c r="A403" s="570"/>
      <c r="B403" s="14"/>
      <c r="C403" s="765"/>
      <c r="D403" s="14"/>
      <c r="E403" s="725"/>
      <c r="F403" s="1937"/>
      <c r="G403" s="1937"/>
      <c r="H403" s="1937"/>
      <c r="I403" s="1937"/>
      <c r="J403" s="1937"/>
      <c r="K403" s="1937"/>
      <c r="L403" s="1937"/>
      <c r="M403" s="1937"/>
      <c r="N403" s="1937"/>
      <c r="O403" s="1937"/>
      <c r="P403" s="1937"/>
      <c r="Q403" s="1937"/>
      <c r="R403" s="1937"/>
      <c r="S403" s="1937"/>
      <c r="T403" s="1937"/>
      <c r="U403" s="1937"/>
      <c r="V403" s="1937"/>
      <c r="W403" s="1937"/>
      <c r="X403" s="1937"/>
      <c r="Y403" s="1937"/>
      <c r="Z403" s="1937"/>
      <c r="AA403" s="1937"/>
      <c r="AB403" s="1937"/>
      <c r="AC403" s="1937"/>
      <c r="AD403" s="1937"/>
      <c r="AE403" s="1937"/>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19"/>
      <c r="G404" s="2019"/>
      <c r="H404" s="2019"/>
      <c r="I404" s="2019"/>
      <c r="J404" s="2019"/>
      <c r="K404" s="2019"/>
      <c r="L404" s="2019"/>
      <c r="M404" s="2019"/>
      <c r="N404" s="2019"/>
      <c r="O404" s="2019"/>
      <c r="P404" s="2019"/>
      <c r="Q404" s="2019"/>
      <c r="R404" s="2019"/>
      <c r="S404" s="2019"/>
      <c r="T404" s="2019"/>
      <c r="U404" s="2019"/>
      <c r="V404" s="2019"/>
      <c r="W404" s="2019"/>
      <c r="X404" s="2019"/>
      <c r="Y404" s="2019"/>
      <c r="Z404" s="2019"/>
      <c r="AA404" s="2019"/>
      <c r="AB404" s="2019"/>
      <c r="AC404" s="2019"/>
      <c r="AD404" s="2019"/>
      <c r="AE404" s="2019"/>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1589</v>
      </c>
      <c r="F406" s="1936" t="s">
        <v>1590</v>
      </c>
      <c r="G406" s="1936"/>
      <c r="H406" s="1936"/>
      <c r="I406" s="1936"/>
      <c r="J406" s="1936"/>
      <c r="K406" s="1936"/>
      <c r="L406" s="1936"/>
      <c r="M406" s="1936"/>
      <c r="N406" s="1936"/>
      <c r="O406" s="1936"/>
      <c r="P406" s="1936"/>
      <c r="Q406" s="1936"/>
      <c r="R406" s="1936"/>
      <c r="S406" s="1936"/>
      <c r="T406" s="1936"/>
      <c r="U406" s="1936"/>
      <c r="V406" s="1936"/>
      <c r="W406" s="1936"/>
      <c r="X406" s="1936"/>
      <c r="Y406" s="1936"/>
      <c r="Z406" s="1936"/>
      <c r="AA406" s="1936"/>
      <c r="AB406" s="1936"/>
      <c r="AC406" s="1936"/>
      <c r="AD406" s="1936"/>
      <c r="AE406" s="1936"/>
      <c r="AF406" s="781"/>
      <c r="AG406" s="781"/>
      <c r="AH406" s="781"/>
      <c r="AI406" s="781"/>
      <c r="AJ406" s="781"/>
      <c r="AK406" s="781"/>
      <c r="AL406" s="782"/>
      <c r="AM406" s="604"/>
    </row>
    <row r="407" spans="1:81">
      <c r="A407" s="570"/>
      <c r="C407" s="765"/>
      <c r="E407" s="725"/>
      <c r="F407" s="1937"/>
      <c r="G407" s="1937"/>
      <c r="H407" s="1937"/>
      <c r="I407" s="1937"/>
      <c r="J407" s="1937"/>
      <c r="K407" s="1937"/>
      <c r="L407" s="1937"/>
      <c r="M407" s="1937"/>
      <c r="N407" s="1937"/>
      <c r="O407" s="1937"/>
      <c r="P407" s="1937"/>
      <c r="Q407" s="1937"/>
      <c r="R407" s="1937"/>
      <c r="S407" s="1937"/>
      <c r="T407" s="1937"/>
      <c r="U407" s="1937"/>
      <c r="V407" s="1937"/>
      <c r="W407" s="1937"/>
      <c r="X407" s="1937"/>
      <c r="Y407" s="1937"/>
      <c r="Z407" s="1937"/>
      <c r="AA407" s="1937"/>
      <c r="AB407" s="1937"/>
      <c r="AC407" s="1937"/>
      <c r="AD407" s="1937"/>
      <c r="AE407" s="1937"/>
      <c r="AF407" s="573"/>
      <c r="AG407" s="570"/>
      <c r="AH407" s="584"/>
      <c r="AI407" s="584"/>
      <c r="AJ407" s="584"/>
      <c r="AK407" s="584"/>
      <c r="AL407" s="766"/>
      <c r="AM407" s="604"/>
    </row>
    <row r="408" spans="1:81" s="584" customFormat="1" ht="12.75" customHeight="1">
      <c r="A408" s="570"/>
      <c r="B408" s="14"/>
      <c r="C408" s="765"/>
      <c r="D408" s="14"/>
      <c r="E408" s="725"/>
      <c r="F408" s="1937"/>
      <c r="G408" s="1937"/>
      <c r="H408" s="1937"/>
      <c r="I408" s="1937"/>
      <c r="J408" s="1937"/>
      <c r="K408" s="1937"/>
      <c r="L408" s="1937"/>
      <c r="M408" s="1937"/>
      <c r="N408" s="1937"/>
      <c r="O408" s="1937"/>
      <c r="P408" s="1937"/>
      <c r="Q408" s="1937"/>
      <c r="R408" s="1937"/>
      <c r="S408" s="1937"/>
      <c r="T408" s="1937"/>
      <c r="U408" s="1937"/>
      <c r="V408" s="1937"/>
      <c r="W408" s="1937"/>
      <c r="X408" s="1937"/>
      <c r="Y408" s="1937"/>
      <c r="Z408" s="1937"/>
      <c r="AA408" s="1937"/>
      <c r="AB408" s="1937"/>
      <c r="AC408" s="1937"/>
      <c r="AD408" s="1937"/>
      <c r="AE408" s="1937"/>
      <c r="AL408" s="766"/>
      <c r="AM408" s="604"/>
      <c r="AN408" s="631"/>
    </row>
    <row r="409" spans="1:81" s="584" customFormat="1" ht="12.75" customHeight="1">
      <c r="A409" s="570"/>
      <c r="B409" s="14"/>
      <c r="C409" s="773"/>
      <c r="F409" s="1937"/>
      <c r="G409" s="1937"/>
      <c r="H409" s="1937"/>
      <c r="I409" s="1937"/>
      <c r="J409" s="1937"/>
      <c r="K409" s="1937"/>
      <c r="L409" s="1937"/>
      <c r="M409" s="1937"/>
      <c r="N409" s="1937"/>
      <c r="O409" s="1937"/>
      <c r="P409" s="1937"/>
      <c r="Q409" s="1937"/>
      <c r="R409" s="1937"/>
      <c r="S409" s="1937"/>
      <c r="T409" s="1937"/>
      <c r="U409" s="1937"/>
      <c r="V409" s="1937"/>
      <c r="W409" s="1937"/>
      <c r="X409" s="1937"/>
      <c r="Y409" s="1937"/>
      <c r="Z409" s="1937"/>
      <c r="AA409" s="1937"/>
      <c r="AB409" s="1937"/>
      <c r="AC409" s="1937"/>
      <c r="AD409" s="1937"/>
      <c r="AE409" s="1937"/>
      <c r="AL409" s="766"/>
      <c r="AM409" s="604"/>
      <c r="AN409" s="631"/>
    </row>
    <row r="410" spans="1:81" s="584" customFormat="1" ht="12.75" customHeight="1">
      <c r="A410" s="570"/>
      <c r="B410" s="14"/>
      <c r="C410" s="1946" t="s">
        <v>600</v>
      </c>
      <c r="D410" s="1947"/>
      <c r="E410" s="725"/>
      <c r="F410" s="755" t="s">
        <v>1591</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2005" t="s">
        <v>1574</v>
      </c>
      <c r="AG410" s="2005"/>
      <c r="AH410" s="2005"/>
      <c r="AI410" s="2005"/>
      <c r="AJ410" s="2005"/>
      <c r="AK410" s="2005"/>
      <c r="AL410" s="2035"/>
      <c r="AM410" s="604"/>
      <c r="AN410" s="631"/>
    </row>
    <row r="411" spans="1:81" s="584" customFormat="1" ht="12.75" customHeight="1">
      <c r="A411" s="570"/>
      <c r="B411" s="14"/>
      <c r="C411" s="773"/>
      <c r="AL411" s="766"/>
      <c r="AM411" s="604"/>
      <c r="AN411" s="631"/>
    </row>
    <row r="412" spans="1:81" s="584" customFormat="1" ht="12.75" customHeight="1">
      <c r="A412" s="570"/>
      <c r="B412" s="14"/>
      <c r="C412" s="1946" t="s">
        <v>600</v>
      </c>
      <c r="D412" s="1947"/>
      <c r="E412" s="753"/>
      <c r="F412" s="755" t="s">
        <v>1592</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2005" t="s">
        <v>1586</v>
      </c>
      <c r="AG412" s="2005"/>
      <c r="AH412" s="2005"/>
      <c r="AI412" s="2005"/>
      <c r="AJ412" s="2005"/>
      <c r="AK412" s="2005"/>
      <c r="AL412" s="2035"/>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2573</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1593</v>
      </c>
      <c r="F416" s="1936" t="s">
        <v>1594</v>
      </c>
      <c r="G416" s="1936"/>
      <c r="H416" s="1936"/>
      <c r="I416" s="1936"/>
      <c r="J416" s="1936"/>
      <c r="K416" s="1936"/>
      <c r="L416" s="1936"/>
      <c r="M416" s="1936"/>
      <c r="N416" s="1936"/>
      <c r="O416" s="1936"/>
      <c r="P416" s="1936"/>
      <c r="Q416" s="1936"/>
      <c r="R416" s="1936"/>
      <c r="S416" s="1936"/>
      <c r="T416" s="1936"/>
      <c r="U416" s="1936"/>
      <c r="V416" s="1936"/>
      <c r="W416" s="1936"/>
      <c r="X416" s="1936"/>
      <c r="Y416" s="1936"/>
      <c r="Z416" s="1936"/>
      <c r="AA416" s="1936"/>
      <c r="AB416" s="1936"/>
      <c r="AC416" s="1936"/>
      <c r="AD416" s="1936"/>
      <c r="AE416" s="1936"/>
      <c r="AF416" s="748"/>
      <c r="AG416" s="748"/>
      <c r="AH416" s="748"/>
      <c r="AI416" s="748"/>
      <c r="AJ416" s="748"/>
      <c r="AK416" s="748"/>
      <c r="AL416" s="779"/>
      <c r="AM416" s="604"/>
      <c r="AN416" s="631"/>
    </row>
    <row r="417" spans="1:60" s="584" customFormat="1" ht="12.75" customHeight="1">
      <c r="A417" s="570"/>
      <c r="B417" s="14"/>
      <c r="C417" s="765"/>
      <c r="D417" s="14"/>
      <c r="E417" s="725"/>
      <c r="F417" s="1937"/>
      <c r="G417" s="1937"/>
      <c r="H417" s="1937"/>
      <c r="I417" s="1937"/>
      <c r="J417" s="1937"/>
      <c r="K417" s="1937"/>
      <c r="L417" s="1937"/>
      <c r="M417" s="1937"/>
      <c r="N417" s="1937"/>
      <c r="O417" s="1937"/>
      <c r="P417" s="1937"/>
      <c r="Q417" s="1937"/>
      <c r="R417" s="1937"/>
      <c r="S417" s="1937"/>
      <c r="T417" s="1937"/>
      <c r="U417" s="1937"/>
      <c r="V417" s="1937"/>
      <c r="W417" s="1937"/>
      <c r="X417" s="1937"/>
      <c r="Y417" s="1937"/>
      <c r="Z417" s="1937"/>
      <c r="AA417" s="1937"/>
      <c r="AB417" s="1937"/>
      <c r="AC417" s="1937"/>
      <c r="AD417" s="1937"/>
      <c r="AE417" s="1937"/>
      <c r="AF417" s="573"/>
      <c r="AG417" s="570"/>
      <c r="AL417" s="766"/>
      <c r="AM417" s="604"/>
      <c r="AN417" s="631"/>
    </row>
    <row r="418" spans="1:60" s="584" customFormat="1" ht="12.4" customHeight="1">
      <c r="A418" s="570"/>
      <c r="B418" s="14"/>
      <c r="C418" s="765"/>
      <c r="D418" s="14"/>
      <c r="E418" s="725"/>
      <c r="F418" s="1937"/>
      <c r="G418" s="1937"/>
      <c r="H418" s="1937"/>
      <c r="I418" s="1937"/>
      <c r="J418" s="1937"/>
      <c r="K418" s="1937"/>
      <c r="L418" s="1937"/>
      <c r="M418" s="1937"/>
      <c r="N418" s="1937"/>
      <c r="O418" s="1937"/>
      <c r="P418" s="1937"/>
      <c r="Q418" s="1937"/>
      <c r="R418" s="1937"/>
      <c r="S418" s="1937"/>
      <c r="T418" s="1937"/>
      <c r="U418" s="1937"/>
      <c r="V418" s="1937"/>
      <c r="W418" s="1937"/>
      <c r="X418" s="1937"/>
      <c r="Y418" s="1937"/>
      <c r="Z418" s="1937"/>
      <c r="AA418" s="1937"/>
      <c r="AB418" s="1937"/>
      <c r="AC418" s="1937"/>
      <c r="AD418" s="1937"/>
      <c r="AE418" s="1937"/>
      <c r="AL418" s="766"/>
      <c r="AM418" s="604"/>
      <c r="AN418" s="631"/>
    </row>
    <row r="419" spans="1:60" s="584" customFormat="1" ht="12.75" customHeight="1">
      <c r="A419" s="570"/>
      <c r="B419" s="14"/>
      <c r="C419" s="1946" t="s">
        <v>600</v>
      </c>
      <c r="D419" s="1947"/>
      <c r="E419" s="725"/>
      <c r="F419" s="755" t="s">
        <v>1595</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2005" t="s">
        <v>1574</v>
      </c>
      <c r="AG419" s="2005"/>
      <c r="AH419" s="2005"/>
      <c r="AI419" s="2005"/>
      <c r="AJ419" s="2005"/>
      <c r="AK419" s="2005"/>
      <c r="AL419" s="2035"/>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1596</v>
      </c>
      <c r="F422" s="1936" t="s">
        <v>1597</v>
      </c>
      <c r="G422" s="1936"/>
      <c r="H422" s="1936"/>
      <c r="I422" s="1936"/>
      <c r="J422" s="1936"/>
      <c r="K422" s="1936"/>
      <c r="L422" s="1936"/>
      <c r="M422" s="1936"/>
      <c r="N422" s="1936"/>
      <c r="O422" s="1936"/>
      <c r="P422" s="1936"/>
      <c r="Q422" s="1936"/>
      <c r="R422" s="1936"/>
      <c r="S422" s="1936"/>
      <c r="T422" s="1936"/>
      <c r="U422" s="1936"/>
      <c r="V422" s="1936"/>
      <c r="W422" s="1936"/>
      <c r="X422" s="1936"/>
      <c r="Y422" s="1936"/>
      <c r="Z422" s="1936"/>
      <c r="AA422" s="1936"/>
      <c r="AB422" s="1936"/>
      <c r="AC422" s="1936"/>
      <c r="AD422" s="1936"/>
      <c r="AE422" s="1936"/>
      <c r="AF422" s="781"/>
      <c r="AG422" s="781"/>
      <c r="AH422" s="781"/>
      <c r="AI422" s="781"/>
      <c r="AJ422" s="781"/>
      <c r="AK422" s="781"/>
      <c r="AL422" s="782"/>
      <c r="AM422" s="604"/>
      <c r="AO422" s="584"/>
      <c r="AP422" s="584"/>
      <c r="BD422" s="14"/>
      <c r="BE422" s="14"/>
      <c r="BF422" s="14"/>
      <c r="BG422" s="14"/>
      <c r="BH422" s="14"/>
    </row>
    <row r="423" spans="1:60">
      <c r="A423" s="570"/>
      <c r="C423" s="765"/>
      <c r="E423" s="725"/>
      <c r="F423" s="1937"/>
      <c r="G423" s="1937"/>
      <c r="H423" s="1937"/>
      <c r="I423" s="1937"/>
      <c r="J423" s="1937"/>
      <c r="K423" s="1937"/>
      <c r="L423" s="1937"/>
      <c r="M423" s="1937"/>
      <c r="N423" s="1937"/>
      <c r="O423" s="1937"/>
      <c r="P423" s="1937"/>
      <c r="Q423" s="1937"/>
      <c r="R423" s="1937"/>
      <c r="S423" s="1937"/>
      <c r="T423" s="1937"/>
      <c r="U423" s="1937"/>
      <c r="V423" s="1937"/>
      <c r="W423" s="1937"/>
      <c r="X423" s="1937"/>
      <c r="Y423" s="1937"/>
      <c r="Z423" s="1937"/>
      <c r="AA423" s="1937"/>
      <c r="AB423" s="1937"/>
      <c r="AC423" s="1937"/>
      <c r="AD423" s="1937"/>
      <c r="AE423" s="1937"/>
      <c r="AF423" s="628"/>
      <c r="AG423" s="628"/>
      <c r="AH423" s="628"/>
      <c r="AI423" s="628"/>
      <c r="AJ423" s="628"/>
      <c r="AK423" s="628"/>
      <c r="AL423" s="784"/>
      <c r="AM423" s="604"/>
      <c r="AO423" s="584"/>
      <c r="AP423" s="584"/>
    </row>
    <row r="424" spans="1:60" s="584" customFormat="1" ht="12.75" customHeight="1">
      <c r="A424" s="570"/>
      <c r="B424" s="14"/>
      <c r="C424" s="765"/>
      <c r="D424" s="14"/>
      <c r="E424" s="725"/>
      <c r="F424" s="1937"/>
      <c r="G424" s="1937"/>
      <c r="H424" s="1937"/>
      <c r="I424" s="1937"/>
      <c r="J424" s="1937"/>
      <c r="K424" s="1937"/>
      <c r="L424" s="1937"/>
      <c r="M424" s="1937"/>
      <c r="N424" s="1937"/>
      <c r="O424" s="1937"/>
      <c r="P424" s="1937"/>
      <c r="Q424" s="1937"/>
      <c r="R424" s="1937"/>
      <c r="S424" s="1937"/>
      <c r="T424" s="1937"/>
      <c r="U424" s="1937"/>
      <c r="V424" s="1937"/>
      <c r="W424" s="1937"/>
      <c r="X424" s="1937"/>
      <c r="Y424" s="1937"/>
      <c r="Z424" s="1937"/>
      <c r="AA424" s="1937"/>
      <c r="AB424" s="1937"/>
      <c r="AC424" s="1937"/>
      <c r="AD424" s="1937"/>
      <c r="AE424" s="1937"/>
      <c r="AF424" s="628"/>
      <c r="AG424" s="628"/>
      <c r="AH424" s="628"/>
      <c r="AI424" s="628"/>
      <c r="AJ424" s="628"/>
      <c r="AK424" s="628"/>
      <c r="AL424" s="784"/>
      <c r="AM424" s="604"/>
      <c r="AN424" s="631"/>
    </row>
    <row r="425" spans="1:60" s="584" customFormat="1" ht="12.75" customHeight="1">
      <c r="A425" s="570"/>
      <c r="B425" s="14"/>
      <c r="C425" s="785"/>
      <c r="D425" s="764"/>
      <c r="E425" s="753"/>
      <c r="F425" s="1937"/>
      <c r="G425" s="1937"/>
      <c r="H425" s="1937"/>
      <c r="I425" s="1937"/>
      <c r="J425" s="1937"/>
      <c r="K425" s="1937"/>
      <c r="L425" s="1937"/>
      <c r="M425" s="1937"/>
      <c r="N425" s="1937"/>
      <c r="O425" s="1937"/>
      <c r="P425" s="1937"/>
      <c r="Q425" s="1937"/>
      <c r="R425" s="1937"/>
      <c r="S425" s="1937"/>
      <c r="T425" s="1937"/>
      <c r="U425" s="1937"/>
      <c r="V425" s="1937"/>
      <c r="W425" s="1937"/>
      <c r="X425" s="1937"/>
      <c r="Y425" s="1937"/>
      <c r="Z425" s="1937"/>
      <c r="AA425" s="1937"/>
      <c r="AB425" s="1937"/>
      <c r="AC425" s="1937"/>
      <c r="AD425" s="1937"/>
      <c r="AE425" s="1937"/>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37"/>
      <c r="G426" s="1937"/>
      <c r="H426" s="1937"/>
      <c r="I426" s="1937"/>
      <c r="J426" s="1937"/>
      <c r="K426" s="1937"/>
      <c r="L426" s="1937"/>
      <c r="M426" s="1937"/>
      <c r="N426" s="1937"/>
      <c r="O426" s="1937"/>
      <c r="P426" s="1937"/>
      <c r="Q426" s="1937"/>
      <c r="R426" s="1937"/>
      <c r="S426" s="1937"/>
      <c r="T426" s="1937"/>
      <c r="U426" s="1937"/>
      <c r="V426" s="1937"/>
      <c r="W426" s="1937"/>
      <c r="X426" s="1937"/>
      <c r="Y426" s="1937"/>
      <c r="Z426" s="1937"/>
      <c r="AA426" s="1937"/>
      <c r="AB426" s="1937"/>
      <c r="AC426" s="1937"/>
      <c r="AD426" s="1937"/>
      <c r="AE426" s="1937"/>
      <c r="AF426" s="628"/>
      <c r="AG426" s="628"/>
      <c r="AH426" s="628"/>
      <c r="AI426" s="628"/>
      <c r="AJ426" s="628"/>
      <c r="AK426" s="628"/>
      <c r="AL426" s="784"/>
      <c r="AM426" s="604"/>
      <c r="AN426" s="631"/>
    </row>
    <row r="427" spans="1:60" s="584" customFormat="1" ht="12.75" customHeight="1">
      <c r="A427" s="570"/>
      <c r="B427" s="14"/>
      <c r="C427" s="785"/>
      <c r="D427" s="764"/>
      <c r="E427" s="753"/>
      <c r="F427" s="1937"/>
      <c r="G427" s="1937"/>
      <c r="H427" s="1937"/>
      <c r="I427" s="1937"/>
      <c r="J427" s="1937"/>
      <c r="K427" s="1937"/>
      <c r="L427" s="1937"/>
      <c r="M427" s="1937"/>
      <c r="N427" s="1937"/>
      <c r="O427" s="1937"/>
      <c r="P427" s="1937"/>
      <c r="Q427" s="1937"/>
      <c r="R427" s="1937"/>
      <c r="S427" s="1937"/>
      <c r="T427" s="1937"/>
      <c r="U427" s="1937"/>
      <c r="V427" s="1937"/>
      <c r="W427" s="1937"/>
      <c r="X427" s="1937"/>
      <c r="Y427" s="1937"/>
      <c r="Z427" s="1937"/>
      <c r="AA427" s="1937"/>
      <c r="AB427" s="1937"/>
      <c r="AC427" s="1937"/>
      <c r="AD427" s="1937"/>
      <c r="AE427" s="1937"/>
      <c r="AF427" s="628"/>
      <c r="AG427" s="628"/>
      <c r="AH427" s="628"/>
      <c r="AI427" s="628"/>
      <c r="AJ427" s="628"/>
      <c r="AK427" s="628"/>
      <c r="AL427" s="784"/>
      <c r="AM427" s="604"/>
      <c r="AN427" s="631"/>
    </row>
    <row r="428" spans="1:60" s="584" customFormat="1" ht="12.75" customHeight="1">
      <c r="A428" s="570"/>
      <c r="B428" s="14"/>
      <c r="C428" s="785"/>
      <c r="D428" s="764"/>
      <c r="E428" s="753"/>
      <c r="F428" s="1937"/>
      <c r="G428" s="1937"/>
      <c r="H428" s="1937"/>
      <c r="I428" s="1937"/>
      <c r="J428" s="1937"/>
      <c r="K428" s="1937"/>
      <c r="L428" s="1937"/>
      <c r="M428" s="1937"/>
      <c r="N428" s="1937"/>
      <c r="O428" s="1937"/>
      <c r="P428" s="1937"/>
      <c r="Q428" s="1937"/>
      <c r="R428" s="1937"/>
      <c r="S428" s="1937"/>
      <c r="T428" s="1937"/>
      <c r="U428" s="1937"/>
      <c r="V428" s="1937"/>
      <c r="W428" s="1937"/>
      <c r="X428" s="1937"/>
      <c r="Y428" s="1937"/>
      <c r="Z428" s="1937"/>
      <c r="AA428" s="1937"/>
      <c r="AB428" s="1937"/>
      <c r="AC428" s="1937"/>
      <c r="AD428" s="1937"/>
      <c r="AE428" s="1937"/>
      <c r="AF428" s="628"/>
      <c r="AG428" s="628"/>
      <c r="AH428" s="628"/>
      <c r="AI428" s="628"/>
      <c r="AJ428" s="628"/>
      <c r="AK428" s="628"/>
      <c r="AL428" s="784"/>
      <c r="AM428" s="604"/>
      <c r="AN428" s="631"/>
    </row>
    <row r="429" spans="1:60" s="584" customFormat="1" ht="12.75" customHeight="1">
      <c r="A429" s="570"/>
      <c r="B429" s="14"/>
      <c r="C429" s="785"/>
      <c r="D429" s="764"/>
      <c r="E429" s="753"/>
      <c r="F429" s="1937"/>
      <c r="G429" s="1937"/>
      <c r="H429" s="1937"/>
      <c r="I429" s="1937"/>
      <c r="J429" s="1937"/>
      <c r="K429" s="1937"/>
      <c r="L429" s="1937"/>
      <c r="M429" s="1937"/>
      <c r="N429" s="1937"/>
      <c r="O429" s="1937"/>
      <c r="P429" s="1937"/>
      <c r="Q429" s="1937"/>
      <c r="R429" s="1937"/>
      <c r="S429" s="1937"/>
      <c r="T429" s="1937"/>
      <c r="U429" s="1937"/>
      <c r="V429" s="1937"/>
      <c r="W429" s="1937"/>
      <c r="X429" s="1937"/>
      <c r="Y429" s="1937"/>
      <c r="Z429" s="1937"/>
      <c r="AA429" s="1937"/>
      <c r="AB429" s="1937"/>
      <c r="AC429" s="1937"/>
      <c r="AD429" s="1937"/>
      <c r="AE429" s="1937"/>
      <c r="AF429" s="628"/>
      <c r="AG429" s="628"/>
      <c r="AH429" s="628"/>
      <c r="AI429" s="628"/>
      <c r="AJ429" s="628"/>
      <c r="AK429" s="628"/>
      <c r="AL429" s="784"/>
      <c r="AM429" s="604"/>
      <c r="AN429" s="631"/>
    </row>
    <row r="430" spans="1:60" s="584" customFormat="1" ht="17.25" customHeight="1">
      <c r="A430" s="570"/>
      <c r="B430" s="14"/>
      <c r="C430" s="785"/>
      <c r="D430" s="764"/>
      <c r="E430" s="753"/>
      <c r="F430" s="1937"/>
      <c r="G430" s="1937"/>
      <c r="H430" s="1937"/>
      <c r="I430" s="1937"/>
      <c r="J430" s="1937"/>
      <c r="K430" s="1937"/>
      <c r="L430" s="1937"/>
      <c r="M430" s="1937"/>
      <c r="N430" s="1937"/>
      <c r="O430" s="1937"/>
      <c r="P430" s="1937"/>
      <c r="Q430" s="1937"/>
      <c r="R430" s="1937"/>
      <c r="S430" s="1937"/>
      <c r="T430" s="1937"/>
      <c r="U430" s="1937"/>
      <c r="V430" s="1937"/>
      <c r="W430" s="1937"/>
      <c r="X430" s="1937"/>
      <c r="Y430" s="1937"/>
      <c r="Z430" s="1937"/>
      <c r="AA430" s="1937"/>
      <c r="AB430" s="1937"/>
      <c r="AC430" s="1937"/>
      <c r="AD430" s="1937"/>
      <c r="AE430" s="1937"/>
      <c r="AL430" s="766"/>
      <c r="AM430" s="604"/>
      <c r="AN430" s="631"/>
    </row>
    <row r="431" spans="1:60" s="584" customFormat="1" ht="12.75" customHeight="1">
      <c r="A431" s="570"/>
      <c r="B431" s="14"/>
      <c r="C431" s="1946" t="s">
        <v>600</v>
      </c>
      <c r="D431" s="1947"/>
      <c r="E431" s="753"/>
      <c r="F431" s="630" t="s">
        <v>1598</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2005" t="s">
        <v>1574</v>
      </c>
      <c r="AG431" s="2005"/>
      <c r="AH431" s="2005"/>
      <c r="AI431" s="2005"/>
      <c r="AJ431" s="2005"/>
      <c r="AK431" s="2005"/>
      <c r="AL431" s="2035"/>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1599</v>
      </c>
      <c r="F434" s="1936" t="s">
        <v>1600</v>
      </c>
      <c r="G434" s="1936"/>
      <c r="H434" s="1936"/>
      <c r="I434" s="1936"/>
      <c r="J434" s="1936"/>
      <c r="K434" s="1936"/>
      <c r="L434" s="1936"/>
      <c r="M434" s="1936"/>
      <c r="N434" s="1936"/>
      <c r="O434" s="1936"/>
      <c r="P434" s="1936"/>
      <c r="Q434" s="1936"/>
      <c r="R434" s="1936"/>
      <c r="S434" s="1936"/>
      <c r="T434" s="1936"/>
      <c r="U434" s="1936"/>
      <c r="V434" s="1936"/>
      <c r="W434" s="1936"/>
      <c r="X434" s="1936"/>
      <c r="Y434" s="1936"/>
      <c r="Z434" s="1936"/>
      <c r="AA434" s="1936"/>
      <c r="AB434" s="1936"/>
      <c r="AC434" s="1936"/>
      <c r="AD434" s="1936"/>
      <c r="AE434" s="1936"/>
      <c r="AF434" s="748"/>
      <c r="AG434" s="748"/>
      <c r="AH434" s="748"/>
      <c r="AI434" s="748"/>
      <c r="AJ434" s="748"/>
      <c r="AK434" s="748"/>
      <c r="AL434" s="779"/>
      <c r="AM434" s="604"/>
      <c r="AN434" s="631"/>
    </row>
    <row r="435" spans="1:40" s="584" customFormat="1" ht="12.75" customHeight="1">
      <c r="A435" s="570"/>
      <c r="B435" s="14"/>
      <c r="C435" s="785"/>
      <c r="D435" s="764"/>
      <c r="E435" s="753"/>
      <c r="F435" s="1937"/>
      <c r="G435" s="1937"/>
      <c r="H435" s="1937"/>
      <c r="I435" s="1937"/>
      <c r="J435" s="1937"/>
      <c r="K435" s="1937"/>
      <c r="L435" s="1937"/>
      <c r="M435" s="1937"/>
      <c r="N435" s="1937"/>
      <c r="O435" s="1937"/>
      <c r="P435" s="1937"/>
      <c r="Q435" s="1937"/>
      <c r="R435" s="1937"/>
      <c r="S435" s="1937"/>
      <c r="T435" s="1937"/>
      <c r="U435" s="1937"/>
      <c r="V435" s="1937"/>
      <c r="W435" s="1937"/>
      <c r="X435" s="1937"/>
      <c r="Y435" s="1937"/>
      <c r="Z435" s="1937"/>
      <c r="AA435" s="1937"/>
      <c r="AB435" s="1937"/>
      <c r="AC435" s="1937"/>
      <c r="AD435" s="1937"/>
      <c r="AE435" s="1937"/>
      <c r="AF435" s="625"/>
      <c r="AG435" s="625"/>
      <c r="AH435" s="625"/>
      <c r="AI435" s="625"/>
      <c r="AJ435" s="625"/>
      <c r="AK435" s="625"/>
      <c r="AL435" s="754"/>
      <c r="AM435" s="604"/>
      <c r="AN435" s="631"/>
    </row>
    <row r="436" spans="1:40" s="584" customFormat="1" ht="12.75" customHeight="1">
      <c r="A436" s="570"/>
      <c r="B436" s="14"/>
      <c r="C436" s="785"/>
      <c r="D436" s="764"/>
      <c r="E436" s="753"/>
      <c r="F436" s="1937"/>
      <c r="G436" s="1937"/>
      <c r="H436" s="1937"/>
      <c r="I436" s="1937"/>
      <c r="J436" s="1937"/>
      <c r="K436" s="1937"/>
      <c r="L436" s="1937"/>
      <c r="M436" s="1937"/>
      <c r="N436" s="1937"/>
      <c r="O436" s="1937"/>
      <c r="P436" s="1937"/>
      <c r="Q436" s="1937"/>
      <c r="R436" s="1937"/>
      <c r="S436" s="1937"/>
      <c r="T436" s="1937"/>
      <c r="U436" s="1937"/>
      <c r="V436" s="1937"/>
      <c r="W436" s="1937"/>
      <c r="X436" s="1937"/>
      <c r="Y436" s="1937"/>
      <c r="Z436" s="1937"/>
      <c r="AA436" s="1937"/>
      <c r="AB436" s="1937"/>
      <c r="AC436" s="1937"/>
      <c r="AD436" s="1937"/>
      <c r="AE436" s="1937"/>
      <c r="AF436" s="625"/>
      <c r="AG436" s="625"/>
      <c r="AH436" s="625"/>
      <c r="AI436" s="625"/>
      <c r="AJ436" s="625"/>
      <c r="AK436" s="625"/>
      <c r="AL436" s="754"/>
      <c r="AM436" s="604"/>
      <c r="AN436" s="631"/>
    </row>
    <row r="437" spans="1:40" s="584" customFormat="1" ht="12.75" customHeight="1">
      <c r="A437" s="570"/>
      <c r="B437" s="14"/>
      <c r="C437" s="785"/>
      <c r="D437" s="764"/>
      <c r="E437" s="753"/>
      <c r="F437" s="1937"/>
      <c r="G437" s="1937"/>
      <c r="H437" s="1937"/>
      <c r="I437" s="1937"/>
      <c r="J437" s="1937"/>
      <c r="K437" s="1937"/>
      <c r="L437" s="1937"/>
      <c r="M437" s="1937"/>
      <c r="N437" s="1937"/>
      <c r="O437" s="1937"/>
      <c r="P437" s="1937"/>
      <c r="Q437" s="1937"/>
      <c r="R437" s="1937"/>
      <c r="S437" s="1937"/>
      <c r="T437" s="1937"/>
      <c r="U437" s="1937"/>
      <c r="V437" s="1937"/>
      <c r="W437" s="1937"/>
      <c r="X437" s="1937"/>
      <c r="Y437" s="1937"/>
      <c r="Z437" s="1937"/>
      <c r="AA437" s="1937"/>
      <c r="AB437" s="1937"/>
      <c r="AC437" s="1937"/>
      <c r="AD437" s="1937"/>
      <c r="AE437" s="1937"/>
      <c r="AL437" s="766"/>
      <c r="AM437" s="604"/>
      <c r="AN437" s="631"/>
    </row>
    <row r="438" spans="1:40" s="584" customFormat="1" ht="12.75" customHeight="1">
      <c r="A438" s="570"/>
      <c r="B438" s="14"/>
      <c r="C438" s="1946" t="s">
        <v>600</v>
      </c>
      <c r="D438" s="1947"/>
      <c r="E438" s="753"/>
      <c r="F438" s="755" t="s">
        <v>1604</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2005" t="s">
        <v>1574</v>
      </c>
      <c r="AG438" s="2005"/>
      <c r="AH438" s="2005"/>
      <c r="AI438" s="2005"/>
      <c r="AJ438" s="2005"/>
      <c r="AK438" s="2005"/>
      <c r="AL438" s="2035"/>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1581</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64" t="s">
        <v>600</v>
      </c>
      <c r="D442" s="2065"/>
      <c r="E442" s="749" t="s">
        <v>1609</v>
      </c>
      <c r="F442" s="1936" t="s">
        <v>1610</v>
      </c>
      <c r="G442" s="1936"/>
      <c r="H442" s="1936"/>
      <c r="I442" s="1936"/>
      <c r="J442" s="1936"/>
      <c r="K442" s="1936"/>
      <c r="L442" s="1936"/>
      <c r="M442" s="1936"/>
      <c r="N442" s="1936"/>
      <c r="O442" s="1936"/>
      <c r="P442" s="1936"/>
      <c r="Q442" s="1936"/>
      <c r="R442" s="1936"/>
      <c r="S442" s="1936"/>
      <c r="T442" s="1936"/>
      <c r="U442" s="1936"/>
      <c r="V442" s="1936"/>
      <c r="W442" s="1936"/>
      <c r="X442" s="1936"/>
      <c r="Y442" s="1936"/>
      <c r="Z442" s="1936"/>
      <c r="AA442" s="1936"/>
      <c r="AB442" s="1936"/>
      <c r="AC442" s="1936"/>
      <c r="AD442" s="1936"/>
      <c r="AE442" s="1936"/>
      <c r="AF442" s="2031" t="s">
        <v>1574</v>
      </c>
      <c r="AG442" s="2031"/>
      <c r="AH442" s="2031"/>
      <c r="AI442" s="2031"/>
      <c r="AJ442" s="2031"/>
      <c r="AK442" s="2031"/>
      <c r="AL442" s="2032"/>
      <c r="AM442" s="604"/>
      <c r="AN442" s="787"/>
    </row>
    <row r="443" spans="1:40" s="584" customFormat="1" ht="12.75" customHeight="1">
      <c r="A443" s="570"/>
      <c r="B443" s="14"/>
      <c r="C443" s="785"/>
      <c r="D443" s="764"/>
      <c r="E443" s="753"/>
      <c r="F443" s="1937"/>
      <c r="G443" s="1937"/>
      <c r="H443" s="1937"/>
      <c r="I443" s="1937"/>
      <c r="J443" s="1937"/>
      <c r="K443" s="1937"/>
      <c r="L443" s="1937"/>
      <c r="M443" s="1937"/>
      <c r="N443" s="1937"/>
      <c r="O443" s="1937"/>
      <c r="P443" s="1937"/>
      <c r="Q443" s="1937"/>
      <c r="R443" s="1937"/>
      <c r="S443" s="1937"/>
      <c r="T443" s="1937"/>
      <c r="U443" s="1937"/>
      <c r="V443" s="1937"/>
      <c r="W443" s="1937"/>
      <c r="X443" s="1937"/>
      <c r="Y443" s="1937"/>
      <c r="Z443" s="1937"/>
      <c r="AA443" s="1937"/>
      <c r="AB443" s="1937"/>
      <c r="AC443" s="1937"/>
      <c r="AD443" s="1937"/>
      <c r="AE443" s="1937"/>
      <c r="AF443" s="625"/>
      <c r="AG443" s="625"/>
      <c r="AH443" s="625"/>
      <c r="AI443" s="625"/>
      <c r="AJ443" s="625"/>
      <c r="AK443" s="625"/>
      <c r="AL443" s="754"/>
      <c r="AM443" s="604"/>
      <c r="AN443" s="788"/>
    </row>
    <row r="444" spans="1:40" s="584" customFormat="1" ht="17.649999999999999" customHeight="1">
      <c r="A444" s="570"/>
      <c r="B444" s="14"/>
      <c r="C444" s="790"/>
      <c r="D444" s="757"/>
      <c r="E444" s="758"/>
      <c r="F444" s="2019"/>
      <c r="G444" s="2019"/>
      <c r="H444" s="2019"/>
      <c r="I444" s="2019"/>
      <c r="J444" s="2019"/>
      <c r="K444" s="2019"/>
      <c r="L444" s="2019"/>
      <c r="M444" s="2019"/>
      <c r="N444" s="2019"/>
      <c r="O444" s="2019"/>
      <c r="P444" s="2019"/>
      <c r="Q444" s="2019"/>
      <c r="R444" s="2019"/>
      <c r="S444" s="2019"/>
      <c r="T444" s="2019"/>
      <c r="U444" s="2019"/>
      <c r="V444" s="2019"/>
      <c r="W444" s="2019"/>
      <c r="X444" s="2019"/>
      <c r="Y444" s="2019"/>
      <c r="Z444" s="2019"/>
      <c r="AA444" s="2019"/>
      <c r="AB444" s="2019"/>
      <c r="AC444" s="2019"/>
      <c r="AD444" s="2019"/>
      <c r="AE444" s="2019"/>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46" t="s">
        <v>600</v>
      </c>
      <c r="D446" s="1947"/>
      <c r="E446" s="749" t="s">
        <v>1615</v>
      </c>
      <c r="F446" s="1936" t="s">
        <v>1616</v>
      </c>
      <c r="G446" s="1936"/>
      <c r="H446" s="1936"/>
      <c r="I446" s="1936"/>
      <c r="J446" s="1936"/>
      <c r="K446" s="1936"/>
      <c r="L446" s="1936"/>
      <c r="M446" s="1936"/>
      <c r="N446" s="1936"/>
      <c r="O446" s="1936"/>
      <c r="P446" s="1936"/>
      <c r="Q446" s="1936"/>
      <c r="R446" s="1936"/>
      <c r="S446" s="1936"/>
      <c r="T446" s="1936"/>
      <c r="U446" s="1936"/>
      <c r="V446" s="1936"/>
      <c r="W446" s="1936"/>
      <c r="X446" s="1936"/>
      <c r="Y446" s="1936"/>
      <c r="Z446" s="1936"/>
      <c r="AA446" s="1936"/>
      <c r="AB446" s="1936"/>
      <c r="AC446" s="1936"/>
      <c r="AD446" s="1936"/>
      <c r="AE446" s="1936"/>
      <c r="AF446" s="2031" t="s">
        <v>1574</v>
      </c>
      <c r="AG446" s="2031"/>
      <c r="AH446" s="2031"/>
      <c r="AI446" s="2031"/>
      <c r="AJ446" s="2031"/>
      <c r="AK446" s="2031"/>
      <c r="AL446" s="2032"/>
      <c r="AM446" s="604"/>
      <c r="AN446" s="569"/>
    </row>
    <row r="447" spans="1:40" s="584" customFormat="1" ht="12.75" customHeight="1">
      <c r="A447" s="570"/>
      <c r="B447" s="14"/>
      <c r="C447" s="765"/>
      <c r="D447" s="14"/>
      <c r="E447" s="725"/>
      <c r="F447" s="1937"/>
      <c r="G447" s="1937"/>
      <c r="H447" s="1937"/>
      <c r="I447" s="1937"/>
      <c r="J447" s="1937"/>
      <c r="K447" s="1937"/>
      <c r="L447" s="1937"/>
      <c r="M447" s="1937"/>
      <c r="N447" s="1937"/>
      <c r="O447" s="1937"/>
      <c r="P447" s="1937"/>
      <c r="Q447" s="1937"/>
      <c r="R447" s="1937"/>
      <c r="S447" s="1937"/>
      <c r="T447" s="1937"/>
      <c r="U447" s="1937"/>
      <c r="V447" s="1937"/>
      <c r="W447" s="1937"/>
      <c r="X447" s="1937"/>
      <c r="Y447" s="1937"/>
      <c r="Z447" s="1937"/>
      <c r="AA447" s="1937"/>
      <c r="AB447" s="1937"/>
      <c r="AC447" s="1937"/>
      <c r="AD447" s="1937"/>
      <c r="AE447" s="1937"/>
      <c r="AF447" s="573"/>
      <c r="AG447" s="570"/>
      <c r="AL447" s="766"/>
      <c r="AM447" s="604"/>
      <c r="AN447" s="569"/>
    </row>
    <row r="448" spans="1:40" s="584" customFormat="1" ht="12.75" customHeight="1">
      <c r="A448" s="570"/>
      <c r="B448" s="14"/>
      <c r="C448" s="765"/>
      <c r="D448" s="14"/>
      <c r="E448" s="725"/>
      <c r="F448" s="1937"/>
      <c r="G448" s="1937"/>
      <c r="H448" s="1937"/>
      <c r="I448" s="1937"/>
      <c r="J448" s="1937"/>
      <c r="K448" s="1937"/>
      <c r="L448" s="1937"/>
      <c r="M448" s="1937"/>
      <c r="N448" s="1937"/>
      <c r="O448" s="1937"/>
      <c r="P448" s="1937"/>
      <c r="Q448" s="1937"/>
      <c r="R448" s="1937"/>
      <c r="S448" s="1937"/>
      <c r="T448" s="1937"/>
      <c r="U448" s="1937"/>
      <c r="V448" s="1937"/>
      <c r="W448" s="1937"/>
      <c r="X448" s="1937"/>
      <c r="Y448" s="1937"/>
      <c r="Z448" s="1937"/>
      <c r="AA448" s="1937"/>
      <c r="AB448" s="1937"/>
      <c r="AC448" s="1937"/>
      <c r="AD448" s="1937"/>
      <c r="AE448" s="1937"/>
      <c r="AF448" s="573"/>
      <c r="AG448" s="570"/>
      <c r="AL448" s="766"/>
      <c r="AM448" s="604"/>
      <c r="AN448" s="569"/>
    </row>
    <row r="449" spans="1:48" s="584" customFormat="1" ht="12.75" customHeight="1">
      <c r="A449" s="570"/>
      <c r="B449" s="14"/>
      <c r="C449" s="790"/>
      <c r="D449" s="757"/>
      <c r="E449" s="758"/>
      <c r="F449" s="2019"/>
      <c r="G449" s="2019"/>
      <c r="H449" s="2019"/>
      <c r="I449" s="2019"/>
      <c r="J449" s="2019"/>
      <c r="K449" s="2019"/>
      <c r="L449" s="2019"/>
      <c r="M449" s="2019"/>
      <c r="N449" s="2019"/>
      <c r="O449" s="2019"/>
      <c r="P449" s="2019"/>
      <c r="Q449" s="2019"/>
      <c r="R449" s="2019"/>
      <c r="S449" s="2019"/>
      <c r="T449" s="2019"/>
      <c r="U449" s="2019"/>
      <c r="V449" s="2019"/>
      <c r="W449" s="2019"/>
      <c r="X449" s="2019"/>
      <c r="Y449" s="2019"/>
      <c r="Z449" s="2019"/>
      <c r="AA449" s="2019"/>
      <c r="AB449" s="2019"/>
      <c r="AC449" s="2019"/>
      <c r="AD449" s="2019"/>
      <c r="AE449" s="2019"/>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1618</v>
      </c>
      <c r="F451" s="1936" t="s">
        <v>1619</v>
      </c>
      <c r="G451" s="1936"/>
      <c r="H451" s="1936"/>
      <c r="I451" s="1936"/>
      <c r="J451" s="1936"/>
      <c r="K451" s="1936"/>
      <c r="L451" s="1936"/>
      <c r="M451" s="1936"/>
      <c r="N451" s="1936"/>
      <c r="O451" s="1936"/>
      <c r="P451" s="1936"/>
      <c r="Q451" s="1936"/>
      <c r="R451" s="1936"/>
      <c r="S451" s="1936"/>
      <c r="T451" s="1936"/>
      <c r="U451" s="1936"/>
      <c r="V451" s="1936"/>
      <c r="W451" s="1936"/>
      <c r="X451" s="1936"/>
      <c r="Y451" s="1936"/>
      <c r="Z451" s="1936"/>
      <c r="AA451" s="1936"/>
      <c r="AB451" s="1936"/>
      <c r="AC451" s="1936"/>
      <c r="AD451" s="1936"/>
      <c r="AE451" s="1936"/>
      <c r="AF451" s="1936"/>
      <c r="AG451" s="778"/>
      <c r="AH451" s="748"/>
      <c r="AI451" s="748"/>
      <c r="AJ451" s="748"/>
      <c r="AK451" s="748"/>
      <c r="AL451" s="779"/>
      <c r="AM451" s="604"/>
      <c r="AN451" s="631"/>
    </row>
    <row r="452" spans="1:48" s="584" customFormat="1" ht="12.75" customHeight="1">
      <c r="A452" s="570"/>
      <c r="B452" s="14"/>
      <c r="C452" s="765"/>
      <c r="D452" s="14"/>
      <c r="E452" s="725"/>
      <c r="F452" s="1937"/>
      <c r="G452" s="1937"/>
      <c r="H452" s="1937"/>
      <c r="I452" s="1937"/>
      <c r="J452" s="1937"/>
      <c r="K452" s="1937"/>
      <c r="L452" s="1937"/>
      <c r="M452" s="1937"/>
      <c r="N452" s="1937"/>
      <c r="O452" s="1937"/>
      <c r="P452" s="1937"/>
      <c r="Q452" s="1937"/>
      <c r="R452" s="1937"/>
      <c r="S452" s="1937"/>
      <c r="T452" s="1937"/>
      <c r="U452" s="1937"/>
      <c r="V452" s="1937"/>
      <c r="W452" s="1937"/>
      <c r="X452" s="1937"/>
      <c r="Y452" s="1937"/>
      <c r="Z452" s="1937"/>
      <c r="AA452" s="1937"/>
      <c r="AB452" s="1937"/>
      <c r="AC452" s="1937"/>
      <c r="AD452" s="1937"/>
      <c r="AE452" s="1937"/>
      <c r="AF452" s="1937"/>
      <c r="AL452" s="766"/>
      <c r="AM452" s="604"/>
      <c r="AN452" s="631"/>
    </row>
    <row r="453" spans="1:48" s="584" customFormat="1" ht="12.75" customHeight="1">
      <c r="A453" s="570"/>
      <c r="B453" s="14"/>
      <c r="C453" s="773"/>
      <c r="F453" s="1937"/>
      <c r="G453" s="1937"/>
      <c r="H453" s="1937"/>
      <c r="I453" s="1937"/>
      <c r="J453" s="1937"/>
      <c r="K453" s="1937"/>
      <c r="L453" s="1937"/>
      <c r="M453" s="1937"/>
      <c r="N453" s="1937"/>
      <c r="O453" s="1937"/>
      <c r="P453" s="1937"/>
      <c r="Q453" s="1937"/>
      <c r="R453" s="1937"/>
      <c r="S453" s="1937"/>
      <c r="T453" s="1937"/>
      <c r="U453" s="1937"/>
      <c r="V453" s="1937"/>
      <c r="W453" s="1937"/>
      <c r="X453" s="1937"/>
      <c r="Y453" s="1937"/>
      <c r="Z453" s="1937"/>
      <c r="AA453" s="1937"/>
      <c r="AB453" s="1937"/>
      <c r="AC453" s="1937"/>
      <c r="AD453" s="1937"/>
      <c r="AE453" s="1937"/>
      <c r="AF453" s="1937"/>
      <c r="AL453" s="766"/>
      <c r="AM453" s="604"/>
      <c r="AN453" s="631"/>
    </row>
    <row r="454" spans="1:48" s="584" customFormat="1" ht="12.75" customHeight="1">
      <c r="A454" s="570"/>
      <c r="B454" s="14"/>
      <c r="C454" s="773"/>
      <c r="F454" s="1937"/>
      <c r="G454" s="1937"/>
      <c r="H454" s="1937"/>
      <c r="I454" s="1937"/>
      <c r="J454" s="1937"/>
      <c r="K454" s="1937"/>
      <c r="L454" s="1937"/>
      <c r="M454" s="1937"/>
      <c r="N454" s="1937"/>
      <c r="O454" s="1937"/>
      <c r="P454" s="1937"/>
      <c r="Q454" s="1937"/>
      <c r="R454" s="1937"/>
      <c r="S454" s="1937"/>
      <c r="T454" s="1937"/>
      <c r="U454" s="1937"/>
      <c r="V454" s="1937"/>
      <c r="W454" s="1937"/>
      <c r="X454" s="1937"/>
      <c r="Y454" s="1937"/>
      <c r="Z454" s="1937"/>
      <c r="AA454" s="1937"/>
      <c r="AB454" s="1937"/>
      <c r="AC454" s="1937"/>
      <c r="AD454" s="1937"/>
      <c r="AE454" s="1937"/>
      <c r="AF454" s="1937"/>
      <c r="AL454" s="766"/>
      <c r="AM454" s="604"/>
      <c r="AN454" s="631"/>
    </row>
    <row r="455" spans="1:48" s="584" customFormat="1" ht="12.75" customHeight="1">
      <c r="A455" s="570"/>
      <c r="B455" s="14"/>
      <c r="C455" s="1946" t="s">
        <v>600</v>
      </c>
      <c r="D455" s="1947"/>
      <c r="E455" s="753"/>
      <c r="F455" s="755" t="s">
        <v>1591</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35" t="s">
        <v>1574</v>
      </c>
      <c r="AG455" s="1935"/>
      <c r="AH455" s="1935"/>
      <c r="AI455" s="1935"/>
      <c r="AJ455" s="1935"/>
      <c r="AK455" s="1935"/>
      <c r="AL455" s="1948"/>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1620</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1621</v>
      </c>
      <c r="AK458" s="1932">
        <f>IF(Application!D214="N/A",AS347,AS349)</f>
        <v>10</v>
      </c>
      <c r="AL458" s="1933"/>
      <c r="AM458" s="1934"/>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1622</v>
      </c>
      <c r="C461" s="573"/>
      <c r="E461" s="630"/>
      <c r="AE461" s="1935" t="s">
        <v>1623</v>
      </c>
      <c r="AF461" s="1935"/>
      <c r="AG461" s="1935"/>
      <c r="AH461" s="1935"/>
      <c r="AI461" s="1935"/>
      <c r="AJ461" s="1935"/>
      <c r="AK461" s="1935"/>
      <c r="AL461" s="625"/>
      <c r="AN461" s="631"/>
      <c r="AO461" s="584" t="s">
        <v>1601</v>
      </c>
      <c r="AP461" s="584">
        <v>5</v>
      </c>
      <c r="AT461" s="584" t="s">
        <v>1601</v>
      </c>
      <c r="AU461" s="584">
        <v>5</v>
      </c>
      <c r="AV461" s="786"/>
    </row>
    <row r="462" spans="1:48" s="584" customFormat="1" ht="12.75" hidden="1" customHeight="1">
      <c r="A462" s="573"/>
      <c r="B462" s="570" t="s">
        <v>1624</v>
      </c>
      <c r="C462" s="573"/>
      <c r="E462" s="630"/>
      <c r="AE462" s="625"/>
      <c r="AF462" s="625"/>
      <c r="AG462" s="625"/>
      <c r="AH462" s="625"/>
      <c r="AI462" s="625"/>
      <c r="AJ462" s="625"/>
      <c r="AK462" s="625"/>
      <c r="AL462" s="625"/>
      <c r="AN462" s="631"/>
      <c r="AO462" s="584" t="s">
        <v>1625</v>
      </c>
      <c r="AP462" s="584">
        <v>5</v>
      </c>
      <c r="AT462" s="584" t="s">
        <v>1602</v>
      </c>
      <c r="AU462" s="584">
        <v>5</v>
      </c>
      <c r="AV462" s="786"/>
    </row>
    <row r="463" spans="1:48" s="584" customFormat="1" ht="12.75" hidden="1" customHeight="1">
      <c r="A463" s="573"/>
      <c r="B463" s="573" t="s">
        <v>1626</v>
      </c>
      <c r="C463" s="573"/>
      <c r="E463" s="630"/>
      <c r="AE463" s="625"/>
      <c r="AF463" s="625"/>
      <c r="AG463" s="625"/>
      <c r="AH463" s="625"/>
      <c r="AI463" s="625"/>
      <c r="AJ463" s="625"/>
      <c r="AK463" s="625"/>
      <c r="AL463" s="625"/>
      <c r="AN463" s="631"/>
      <c r="AO463" s="584" t="s">
        <v>1603</v>
      </c>
      <c r="AP463" s="584">
        <v>5</v>
      </c>
      <c r="AQ463" s="573"/>
      <c r="AR463" s="573"/>
      <c r="AS463" s="789"/>
      <c r="AT463" s="584" t="s">
        <v>1603</v>
      </c>
      <c r="AU463" s="584">
        <v>5</v>
      </c>
      <c r="AV463" s="570"/>
    </row>
    <row r="464" spans="1:48" s="584" customFormat="1" ht="12.75" hidden="1" customHeight="1">
      <c r="A464" s="573"/>
      <c r="B464" s="573" t="s">
        <v>1627</v>
      </c>
      <c r="C464" s="573"/>
      <c r="E464" s="630"/>
      <c r="AE464" s="625"/>
      <c r="AF464" s="625"/>
      <c r="AG464" s="625"/>
      <c r="AH464" s="625"/>
      <c r="AI464" s="625"/>
      <c r="AJ464" s="625"/>
      <c r="AK464" s="625"/>
      <c r="AL464" s="625"/>
      <c r="AN464" s="631"/>
      <c r="AO464" s="584" t="s">
        <v>1605</v>
      </c>
      <c r="AP464" s="584">
        <v>5</v>
      </c>
      <c r="AQ464" s="573"/>
      <c r="AR464" s="573"/>
      <c r="AT464" s="584" t="s">
        <v>1605</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1606</v>
      </c>
      <c r="AP465" s="584">
        <v>5</v>
      </c>
      <c r="AQ465" s="573"/>
      <c r="AR465" s="573"/>
      <c r="AT465" s="584" t="s">
        <v>1606</v>
      </c>
      <c r="AU465" s="584">
        <v>5</v>
      </c>
    </row>
    <row r="466" spans="1:59" s="584" customFormat="1" ht="12.75" hidden="1" customHeight="1">
      <c r="A466" s="573"/>
      <c r="C466" s="746" t="s">
        <v>1628</v>
      </c>
      <c r="D466" s="604"/>
      <c r="AE466" s="625"/>
      <c r="AF466" s="625"/>
      <c r="AG466" s="630"/>
      <c r="AH466" s="630"/>
      <c r="AI466" s="630"/>
      <c r="AJ466" s="630"/>
      <c r="AK466" s="630"/>
      <c r="AL466" s="630"/>
      <c r="AN466" s="631"/>
      <c r="AO466" s="584" t="s">
        <v>1607</v>
      </c>
      <c r="AP466" s="584">
        <v>5</v>
      </c>
      <c r="AT466" s="584" t="s">
        <v>1607</v>
      </c>
      <c r="AU466" s="584">
        <v>5</v>
      </c>
    </row>
    <row r="467" spans="1:59" s="584" customFormat="1" ht="12.75" hidden="1" customHeight="1">
      <c r="A467" s="573"/>
      <c r="C467" s="2012" t="s">
        <v>600</v>
      </c>
      <c r="D467" s="2013"/>
      <c r="E467" s="795" t="s">
        <v>516</v>
      </c>
      <c r="F467" s="2033" t="s">
        <v>1629</v>
      </c>
      <c r="G467" s="2033"/>
      <c r="H467" s="2033"/>
      <c r="I467" s="2033"/>
      <c r="J467" s="2033"/>
      <c r="K467" s="2033"/>
      <c r="L467" s="2033"/>
      <c r="M467" s="2033"/>
      <c r="N467" s="2033"/>
      <c r="O467" s="2033"/>
      <c r="P467" s="2033"/>
      <c r="Q467" s="2033"/>
      <c r="R467" s="2033"/>
      <c r="S467" s="2033"/>
      <c r="T467" s="2033"/>
      <c r="U467" s="2033"/>
      <c r="V467" s="2033"/>
      <c r="W467" s="2033"/>
      <c r="X467" s="2033"/>
      <c r="Y467" s="2033"/>
      <c r="Z467" s="2033"/>
      <c r="AA467" s="2033"/>
      <c r="AB467" s="2033"/>
      <c r="AC467" s="2033"/>
      <c r="AD467" s="2033"/>
      <c r="AE467" s="2033"/>
      <c r="AF467" s="748"/>
      <c r="AG467" s="748"/>
      <c r="AH467" s="748"/>
      <c r="AI467" s="748"/>
      <c r="AJ467" s="748"/>
      <c r="AK467" s="779"/>
      <c r="AN467" s="631"/>
      <c r="AO467" s="584" t="s">
        <v>1630</v>
      </c>
      <c r="AP467" s="584">
        <v>5</v>
      </c>
      <c r="AS467" s="792"/>
      <c r="AT467" s="584" t="s">
        <v>1608</v>
      </c>
      <c r="AU467" s="584">
        <v>5</v>
      </c>
    </row>
    <row r="468" spans="1:59" s="584" customFormat="1" ht="12.75" hidden="1" customHeight="1">
      <c r="C468" s="796"/>
      <c r="E468" s="797"/>
      <c r="F468" s="2034"/>
      <c r="G468" s="2034"/>
      <c r="H468" s="2034"/>
      <c r="I468" s="2034"/>
      <c r="J468" s="2034"/>
      <c r="K468" s="2034"/>
      <c r="L468" s="2034"/>
      <c r="M468" s="2034"/>
      <c r="N468" s="2034"/>
      <c r="O468" s="2034"/>
      <c r="P468" s="2034"/>
      <c r="Q468" s="2034"/>
      <c r="R468" s="2034"/>
      <c r="S468" s="2034"/>
      <c r="T468" s="2034"/>
      <c r="U468" s="2034"/>
      <c r="V468" s="2034"/>
      <c r="W468" s="2034"/>
      <c r="X468" s="2034"/>
      <c r="Y468" s="2034"/>
      <c r="Z468" s="2034"/>
      <c r="AA468" s="2034"/>
      <c r="AB468" s="2034"/>
      <c r="AC468" s="2034"/>
      <c r="AD468" s="2034"/>
      <c r="AE468" s="2034"/>
      <c r="AG468" s="585"/>
      <c r="AH468" s="585"/>
      <c r="AI468" s="585"/>
      <c r="AJ468" s="585"/>
      <c r="AK468" s="766"/>
      <c r="AN468" s="631"/>
      <c r="AO468" s="584" t="s">
        <v>1611</v>
      </c>
      <c r="AP468" s="584">
        <v>1</v>
      </c>
      <c r="AT468" s="584" t="s">
        <v>1611</v>
      </c>
      <c r="AU468" s="584">
        <v>1</v>
      </c>
    </row>
    <row r="469" spans="1:59" s="584" customFormat="1" ht="12.75" hidden="1" customHeight="1">
      <c r="C469" s="798"/>
      <c r="D469" s="761"/>
      <c r="E469" s="799"/>
      <c r="F469" s="2028" t="s">
        <v>600</v>
      </c>
      <c r="G469" s="2028"/>
      <c r="H469" s="2028"/>
      <c r="I469" s="2028"/>
      <c r="J469" s="2028"/>
      <c r="K469" s="2028"/>
      <c r="L469" s="2028"/>
      <c r="M469" s="2028"/>
      <c r="N469" s="2028"/>
      <c r="O469" s="2028"/>
      <c r="P469" s="2028"/>
      <c r="Q469" s="2028"/>
      <c r="R469" s="2028"/>
      <c r="S469" s="2028"/>
      <c r="T469" s="2028"/>
      <c r="U469" s="2028"/>
      <c r="V469" s="2028"/>
      <c r="W469" s="2028"/>
      <c r="X469" s="2028"/>
      <c r="Y469" s="2028"/>
      <c r="Z469" s="2028"/>
      <c r="AA469" s="800"/>
      <c r="AB469" s="692"/>
      <c r="AC469" s="692"/>
      <c r="AD469" s="761"/>
      <c r="AE469" s="761"/>
      <c r="AF469" s="761"/>
      <c r="AG469" s="801">
        <f>IF($C$467="Yes",(VLOOKUP($F$469,$AT$460:$AU$468,2,FALSE)),0)</f>
        <v>0</v>
      </c>
      <c r="AH469" s="802" t="s">
        <v>1439</v>
      </c>
      <c r="AI469" s="801"/>
      <c r="AJ469" s="801"/>
      <c r="AK469" s="776"/>
      <c r="AN469" s="631"/>
      <c r="AS469" s="789"/>
      <c r="AX469" s="789"/>
      <c r="BB469" s="789" t="s">
        <v>1612</v>
      </c>
      <c r="BF469" s="789" t="s">
        <v>1613</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29" t="s">
        <v>554</v>
      </c>
      <c r="D471" s="2030"/>
      <c r="E471" s="795" t="s">
        <v>767</v>
      </c>
      <c r="F471" s="803" t="s">
        <v>1631</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1614</v>
      </c>
      <c r="AX471" s="671">
        <v>3</v>
      </c>
      <c r="AY471" s="627"/>
      <c r="BB471" s="792">
        <v>0.4</v>
      </c>
      <c r="BC471" s="627">
        <v>3</v>
      </c>
      <c r="BF471" s="792">
        <v>0.4</v>
      </c>
      <c r="BG471" s="627">
        <v>4</v>
      </c>
    </row>
    <row r="472" spans="1:59" s="584" customFormat="1" ht="12.75" hidden="1" customHeight="1">
      <c r="C472" s="804" t="s">
        <v>1632</v>
      </c>
      <c r="F472" s="805" t="s">
        <v>1633</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1617</v>
      </c>
      <c r="AX472" s="671">
        <v>5</v>
      </c>
      <c r="AY472" s="627"/>
      <c r="BB472" s="792">
        <v>0.6</v>
      </c>
      <c r="BC472" s="627">
        <v>4</v>
      </c>
      <c r="BF472" s="792">
        <v>0.6</v>
      </c>
      <c r="BG472" s="627">
        <v>5</v>
      </c>
    </row>
    <row r="473" spans="1:59" s="584" customFormat="1" ht="12.75" hidden="1" customHeight="1">
      <c r="C473" s="785"/>
      <c r="D473" s="764"/>
      <c r="E473" s="806"/>
      <c r="F473" s="805" t="s">
        <v>1634</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1635</v>
      </c>
      <c r="G474" s="584"/>
      <c r="H474" s="584"/>
      <c r="I474" s="805"/>
      <c r="J474" s="805"/>
      <c r="K474" s="805"/>
      <c r="L474" s="805"/>
      <c r="M474" s="805"/>
      <c r="N474" s="805"/>
      <c r="O474" s="805"/>
      <c r="P474" s="805"/>
      <c r="Q474" s="805"/>
      <c r="R474" s="805"/>
      <c r="S474" s="805"/>
      <c r="T474" s="805"/>
      <c r="U474" s="805"/>
      <c r="V474" s="1941" t="s">
        <v>600</v>
      </c>
      <c r="W474" s="1941"/>
      <c r="X474" s="1941"/>
      <c r="Y474" s="805"/>
      <c r="Z474" s="805"/>
      <c r="AA474" s="805"/>
      <c r="AB474" s="805"/>
      <c r="AC474" s="805"/>
      <c r="AD474" s="643"/>
      <c r="AE474" s="643"/>
      <c r="AF474" s="643"/>
      <c r="AG474" s="647">
        <f>IF(AND($C$471="Yes",$V$476="N/A",$V$481="N/A",$V$485="N/A",$V$487="N/A"),(VLOOKUP(V474,$AW$470:$AX$472,2,FALSE)),0)</f>
        <v>0</v>
      </c>
      <c r="AH474" s="674" t="s">
        <v>1439</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1636</v>
      </c>
      <c r="G476" s="584"/>
      <c r="H476" s="584"/>
      <c r="I476" s="805"/>
      <c r="J476" s="805"/>
      <c r="K476" s="805"/>
      <c r="L476" s="805"/>
      <c r="M476" s="805"/>
      <c r="N476" s="805"/>
      <c r="O476" s="805"/>
      <c r="P476" s="805"/>
      <c r="Q476" s="805"/>
      <c r="R476" s="805"/>
      <c r="S476" s="805"/>
      <c r="T476" s="805"/>
      <c r="U476" s="805"/>
      <c r="V476" s="1941" t="s">
        <v>600</v>
      </c>
      <c r="W476" s="1941"/>
      <c r="X476" s="1941"/>
      <c r="Y476" s="805"/>
      <c r="Z476" s="805"/>
      <c r="AA476" s="805"/>
      <c r="AB476" s="805"/>
      <c r="AC476" s="805"/>
      <c r="AD476" s="643"/>
      <c r="AE476" s="643"/>
      <c r="AF476" s="643"/>
      <c r="AG476" s="647">
        <f>IF(AND($C$471="Yes",$V$474="N/A", $V$481="N/A",$V$485="N/A",$V$487="N/A"),(VLOOKUP(V476,$AT$470:$AU$472,2,FALSE)),0)</f>
        <v>0</v>
      </c>
      <c r="AH476" s="674" t="s">
        <v>1439</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1637</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1638</v>
      </c>
      <c r="AP478" s="671">
        <v>2</v>
      </c>
    </row>
    <row r="479" spans="1:59" s="584" customFormat="1" ht="12.75" hidden="1" customHeight="1">
      <c r="C479" s="796"/>
      <c r="F479" s="643" t="s">
        <v>1639</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1640</v>
      </c>
      <c r="AP479" s="584">
        <v>2</v>
      </c>
    </row>
    <row r="480" spans="1:59" s="630" customFormat="1" ht="12.75" hidden="1" customHeight="1">
      <c r="A480" s="584"/>
      <c r="B480" s="584"/>
      <c r="C480" s="773"/>
      <c r="D480" s="604"/>
      <c r="E480" s="604"/>
      <c r="F480" s="643" t="s">
        <v>1641</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1642</v>
      </c>
      <c r="AP480" s="584">
        <v>2</v>
      </c>
    </row>
    <row r="481" spans="1:81" s="584" customFormat="1" ht="12.75" hidden="1" customHeight="1">
      <c r="C481" s="811"/>
      <c r="F481" s="809" t="s">
        <v>1643</v>
      </c>
      <c r="M481" s="797"/>
      <c r="N481" s="797"/>
      <c r="O481" s="797"/>
      <c r="P481" s="797"/>
      <c r="Q481" s="585"/>
      <c r="R481" s="585"/>
      <c r="S481" s="585"/>
      <c r="T481" s="585"/>
      <c r="U481" s="585"/>
      <c r="V481" s="1941" t="s">
        <v>600</v>
      </c>
      <c r="W481" s="1941"/>
      <c r="X481" s="1941"/>
      <c r="Y481" s="585"/>
      <c r="Z481" s="585"/>
      <c r="AA481" s="585"/>
      <c r="AB481" s="585"/>
      <c r="AC481" s="585"/>
      <c r="AG481" s="647">
        <f>IF(AND($C$471="Yes",$V$474="N/A",$V$476="N/A", $V$485="N/A",$V$487="N/A"),(VLOOKUP($V$481,$AT$474:$AU$476,2,FALSE)),0)</f>
        <v>0</v>
      </c>
      <c r="AH481" s="674" t="s">
        <v>1439</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1644</v>
      </c>
      <c r="D483" s="748"/>
      <c r="E483" s="748"/>
      <c r="F483" s="814" t="s">
        <v>1645</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2015"/>
      <c r="E484" s="2015"/>
      <c r="F484" s="805" t="s">
        <v>1646</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1647</v>
      </c>
      <c r="AP484" s="671">
        <v>5</v>
      </c>
      <c r="AQ484" s="573"/>
    </row>
    <row r="485" spans="1:81" s="604" customFormat="1" ht="12.75" hidden="1" customHeight="1">
      <c r="A485" s="713"/>
      <c r="B485" s="584"/>
      <c r="C485" s="796"/>
      <c r="D485" s="584"/>
      <c r="E485" s="584"/>
      <c r="F485" s="816" t="s">
        <v>1635</v>
      </c>
      <c r="G485" s="584"/>
      <c r="H485" s="584"/>
      <c r="I485" s="584"/>
      <c r="J485" s="584"/>
      <c r="K485" s="584"/>
      <c r="L485" s="584"/>
      <c r="M485" s="584"/>
      <c r="N485" s="584"/>
      <c r="O485" s="584"/>
      <c r="P485" s="584"/>
      <c r="Q485" s="584"/>
      <c r="R485" s="584"/>
      <c r="S485" s="584"/>
      <c r="T485" s="584"/>
      <c r="U485" s="584"/>
      <c r="V485" s="1941" t="s">
        <v>600</v>
      </c>
      <c r="W485" s="1941"/>
      <c r="X485" s="1941"/>
      <c r="Y485" s="584"/>
      <c r="Z485" s="584"/>
      <c r="AA485" s="584"/>
      <c r="AB485" s="584"/>
      <c r="AC485" s="584"/>
      <c r="AD485" s="584"/>
      <c r="AE485" s="584"/>
      <c r="AF485" s="584"/>
      <c r="AG485" s="647">
        <f>IF(AND($C$471="Yes",$V$474="N/A",V476="N/A",$V$481="N/A",$V$487="N/A"),(VLOOKUP($V$485,$BB$470:$BC$473,2,FALSE)),0)</f>
        <v>0</v>
      </c>
      <c r="AH485" s="674" t="s">
        <v>1439</v>
      </c>
      <c r="AI485" s="585"/>
      <c r="AJ485" s="584"/>
      <c r="AK485" s="766"/>
      <c r="AL485" s="584"/>
      <c r="AM485" s="584"/>
      <c r="AN485" s="718"/>
      <c r="AO485" s="584" t="s">
        <v>1648</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1649</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1636</v>
      </c>
      <c r="G487" s="800"/>
      <c r="H487" s="800"/>
      <c r="I487" s="761"/>
      <c r="J487" s="761"/>
      <c r="K487" s="761"/>
      <c r="L487" s="761"/>
      <c r="M487" s="761"/>
      <c r="N487" s="761"/>
      <c r="O487" s="761"/>
      <c r="P487" s="761"/>
      <c r="Q487" s="761"/>
      <c r="R487" s="761"/>
      <c r="S487" s="761"/>
      <c r="T487" s="761"/>
      <c r="U487" s="761"/>
      <c r="V487" s="1941" t="s">
        <v>600</v>
      </c>
      <c r="W487" s="1941"/>
      <c r="X487" s="1941"/>
      <c r="Y487" s="761"/>
      <c r="Z487" s="761"/>
      <c r="AA487" s="761"/>
      <c r="AB487" s="761"/>
      <c r="AC487" s="761"/>
      <c r="AD487" s="761"/>
      <c r="AE487" s="761"/>
      <c r="AF487" s="761"/>
      <c r="AG487" s="817">
        <f>IF(AND($C$471="Yes",$V$474="N/A",$V$476="N/A",$V$481="N/A",$V$485="N/A"),(VLOOKUP($V$487,$BF$470:$BG$472,2,FALSE)),0)</f>
        <v>0</v>
      </c>
      <c r="AH487" s="802" t="s">
        <v>1439</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1650</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12" t="s">
        <v>600</v>
      </c>
      <c r="D490" s="2013"/>
      <c r="E490" s="795" t="s">
        <v>516</v>
      </c>
      <c r="F490" s="2033" t="s">
        <v>1629</v>
      </c>
      <c r="G490" s="2033"/>
      <c r="H490" s="2033"/>
      <c r="I490" s="2033"/>
      <c r="J490" s="2033"/>
      <c r="K490" s="2033"/>
      <c r="L490" s="2033"/>
      <c r="M490" s="2033"/>
      <c r="N490" s="2033"/>
      <c r="O490" s="2033"/>
      <c r="P490" s="2033"/>
      <c r="Q490" s="2033"/>
      <c r="R490" s="2033"/>
      <c r="S490" s="2033"/>
      <c r="T490" s="2033"/>
      <c r="U490" s="2033"/>
      <c r="V490" s="2033"/>
      <c r="W490" s="2033"/>
      <c r="X490" s="2033"/>
      <c r="Y490" s="2033"/>
      <c r="Z490" s="2033"/>
      <c r="AA490" s="2033"/>
      <c r="AB490" s="2033"/>
      <c r="AC490" s="2033"/>
      <c r="AD490" s="2033"/>
      <c r="AE490" s="2033"/>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4"/>
      <c r="G491" s="2034"/>
      <c r="H491" s="2034"/>
      <c r="I491" s="2034"/>
      <c r="J491" s="2034"/>
      <c r="K491" s="2034"/>
      <c r="L491" s="2034"/>
      <c r="M491" s="2034"/>
      <c r="N491" s="2034"/>
      <c r="O491" s="2034"/>
      <c r="P491" s="2034"/>
      <c r="Q491" s="2034"/>
      <c r="R491" s="2034"/>
      <c r="S491" s="2034"/>
      <c r="T491" s="2034"/>
      <c r="U491" s="2034"/>
      <c r="V491" s="2034"/>
      <c r="W491" s="2034"/>
      <c r="X491" s="2034"/>
      <c r="Y491" s="2034"/>
      <c r="Z491" s="2034"/>
      <c r="AA491" s="2034"/>
      <c r="AB491" s="2034"/>
      <c r="AC491" s="2034"/>
      <c r="AD491" s="2034"/>
      <c r="AE491" s="2034"/>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20" t="s">
        <v>600</v>
      </c>
      <c r="G492" s="2020"/>
      <c r="H492" s="2020"/>
      <c r="I492" s="2020"/>
      <c r="J492" s="2020"/>
      <c r="K492" s="2020"/>
      <c r="L492" s="2020"/>
      <c r="M492" s="2020"/>
      <c r="N492" s="2020"/>
      <c r="O492" s="2020"/>
      <c r="P492" s="2020"/>
      <c r="Q492" s="2020"/>
      <c r="R492" s="2020"/>
      <c r="S492" s="2020"/>
      <c r="T492" s="2020"/>
      <c r="U492" s="2020"/>
      <c r="V492" s="2020"/>
      <c r="W492" s="2020"/>
      <c r="X492" s="2020"/>
      <c r="Y492" s="2020"/>
      <c r="Z492" s="2020"/>
      <c r="AA492" s="800"/>
      <c r="AB492" s="692"/>
      <c r="AC492" s="692"/>
      <c r="AD492" s="761"/>
      <c r="AE492" s="761"/>
      <c r="AF492" s="761"/>
      <c r="AG492" s="801">
        <f>IF($C$490="Yes",(VLOOKUP($F$492,$AO$460:$AP$468,2,FALSE)),0)</f>
        <v>0</v>
      </c>
      <c r="AH492" s="802" t="s">
        <v>1439</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12" t="s">
        <v>600</v>
      </c>
      <c r="D494" s="2013"/>
      <c r="E494" s="795" t="s">
        <v>767</v>
      </c>
      <c r="F494" s="2021" t="s">
        <v>1651</v>
      </c>
      <c r="G494" s="2021"/>
      <c r="H494" s="2021"/>
      <c r="I494" s="2021"/>
      <c r="J494" s="2021"/>
      <c r="K494" s="2021"/>
      <c r="L494" s="2021"/>
      <c r="M494" s="2021"/>
      <c r="N494" s="2021"/>
      <c r="O494" s="2021"/>
      <c r="P494" s="2021"/>
      <c r="Q494" s="2021"/>
      <c r="R494" s="2021"/>
      <c r="S494" s="2021"/>
      <c r="T494" s="2021"/>
      <c r="U494" s="2021"/>
      <c r="V494" s="2021"/>
      <c r="W494" s="2021"/>
      <c r="X494" s="2021"/>
      <c r="Y494" s="2021"/>
      <c r="Z494" s="2021"/>
      <c r="AA494" s="2021"/>
      <c r="AB494" s="2021"/>
      <c r="AC494" s="2021"/>
      <c r="AD494" s="2021"/>
      <c r="AE494" s="2021"/>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22"/>
      <c r="G495" s="2022"/>
      <c r="H495" s="2022"/>
      <c r="I495" s="2022"/>
      <c r="J495" s="2022"/>
      <c r="K495" s="2022"/>
      <c r="L495" s="2022"/>
      <c r="M495" s="2022"/>
      <c r="N495" s="2022"/>
      <c r="O495" s="2022"/>
      <c r="P495" s="2022"/>
      <c r="Q495" s="2022"/>
      <c r="R495" s="2022"/>
      <c r="S495" s="2022"/>
      <c r="T495" s="2022"/>
      <c r="U495" s="2022"/>
      <c r="V495" s="2022"/>
      <c r="W495" s="2022"/>
      <c r="X495" s="2022"/>
      <c r="Y495" s="2022"/>
      <c r="Z495" s="2022"/>
      <c r="AA495" s="2022"/>
      <c r="AB495" s="2022"/>
      <c r="AC495" s="2022"/>
      <c r="AD495" s="2022"/>
      <c r="AE495" s="2022"/>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1652</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23" t="s">
        <v>600</v>
      </c>
      <c r="G497" s="2023"/>
      <c r="H497" s="2023"/>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1439</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12" t="s">
        <v>600</v>
      </c>
      <c r="D499" s="2013"/>
      <c r="E499" s="795" t="s">
        <v>1653</v>
      </c>
      <c r="F499" s="814" t="s">
        <v>1654</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14"/>
      <c r="D501" s="2015"/>
      <c r="E501" s="806"/>
      <c r="F501" s="585" t="s">
        <v>1655</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1439</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16" t="s">
        <v>600</v>
      </c>
      <c r="H502" s="2016"/>
      <c r="I502" s="2016"/>
      <c r="J502" s="2016"/>
      <c r="K502" s="2016"/>
      <c r="L502" s="2016"/>
      <c r="M502" s="2016"/>
      <c r="N502" s="2016"/>
      <c r="O502" s="2016"/>
      <c r="P502" s="2016"/>
      <c r="Q502" s="2016"/>
      <c r="R502" s="2016"/>
      <c r="S502" s="2016"/>
      <c r="T502" s="2016"/>
      <c r="U502" s="2016"/>
      <c r="V502" s="2016"/>
      <c r="W502" s="2016"/>
      <c r="X502" s="2016"/>
      <c r="Y502" s="2016"/>
      <c r="Z502" s="2016"/>
      <c r="AA502" s="2016"/>
      <c r="AB502" s="2016"/>
      <c r="AC502" s="2016"/>
      <c r="AD502" s="2016"/>
      <c r="AE502" s="2016"/>
      <c r="AF502" s="2016"/>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17" t="s">
        <v>600</v>
      </c>
      <c r="D504" s="2018"/>
      <c r="F504" s="585" t="s">
        <v>1656</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1439</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1657</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1658</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17" t="s">
        <v>600</v>
      </c>
      <c r="D508" s="2018"/>
      <c r="F508" s="829" t="s">
        <v>1659</v>
      </c>
      <c r="G508" s="1937" t="s">
        <v>1660</v>
      </c>
      <c r="H508" s="1937"/>
      <c r="I508" s="1937"/>
      <c r="J508" s="1937"/>
      <c r="K508" s="1937"/>
      <c r="L508" s="1937"/>
      <c r="M508" s="1937"/>
      <c r="N508" s="1937"/>
      <c r="O508" s="1937"/>
      <c r="P508" s="1937"/>
      <c r="Q508" s="1937"/>
      <c r="R508" s="1937"/>
      <c r="S508" s="1937"/>
      <c r="T508" s="1937"/>
      <c r="U508" s="1937"/>
      <c r="V508" s="1937"/>
      <c r="W508" s="1937"/>
      <c r="X508" s="1937"/>
      <c r="Y508" s="1937"/>
      <c r="Z508" s="1937"/>
      <c r="AA508" s="1937"/>
      <c r="AB508" s="1937"/>
      <c r="AC508" s="1937"/>
      <c r="AD508" s="1937"/>
      <c r="AE508" s="1937"/>
      <c r="AF508" s="1937"/>
      <c r="AG508" s="647">
        <f>IF(AND($C$508="Yes",$C$499="Yes"),2,0)</f>
        <v>0</v>
      </c>
      <c r="AH508" s="674" t="s">
        <v>1439</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19"/>
      <c r="H509" s="2019"/>
      <c r="I509" s="2019"/>
      <c r="J509" s="2019"/>
      <c r="K509" s="2019"/>
      <c r="L509" s="2019"/>
      <c r="M509" s="2019"/>
      <c r="N509" s="2019"/>
      <c r="O509" s="2019"/>
      <c r="P509" s="2019"/>
      <c r="Q509" s="2019"/>
      <c r="R509" s="2019"/>
      <c r="S509" s="2019"/>
      <c r="T509" s="2019"/>
      <c r="U509" s="2019"/>
      <c r="V509" s="2019"/>
      <c r="W509" s="2019"/>
      <c r="X509" s="2019"/>
      <c r="Y509" s="2019"/>
      <c r="Z509" s="2019"/>
      <c r="AA509" s="2019"/>
      <c r="AB509" s="2019"/>
      <c r="AC509" s="2019"/>
      <c r="AD509" s="2019"/>
      <c r="AE509" s="2019"/>
      <c r="AF509" s="2019"/>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1661</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24" t="s">
        <v>600</v>
      </c>
      <c r="D512" s="2025"/>
      <c r="E512" s="836" t="s">
        <v>1662</v>
      </c>
      <c r="F512" s="805" t="s">
        <v>1663</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1439</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26" t="s">
        <v>600</v>
      </c>
      <c r="G513" s="2026"/>
      <c r="H513" s="2026"/>
      <c r="I513" s="2026"/>
      <c r="J513" s="2026"/>
      <c r="K513" s="2026"/>
      <c r="L513" s="2026"/>
      <c r="M513" s="2026"/>
      <c r="N513" s="2026"/>
      <c r="O513" s="2026"/>
      <c r="P513" s="2026"/>
      <c r="Q513" s="2026"/>
      <c r="R513" s="2026"/>
      <c r="S513" s="2026"/>
      <c r="T513" s="2026"/>
      <c r="U513" s="2026"/>
      <c r="V513" s="2026"/>
      <c r="W513" s="2026"/>
      <c r="X513" s="2026"/>
      <c r="Y513" s="2026"/>
      <c r="Z513" s="2026"/>
      <c r="AA513" s="2026"/>
      <c r="AB513" s="2026"/>
      <c r="AC513" s="2026"/>
      <c r="AD513" s="2026"/>
      <c r="AE513" s="2026"/>
      <c r="AF513" s="2026"/>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27"/>
      <c r="G514" s="2027"/>
      <c r="H514" s="2027"/>
      <c r="I514" s="2027"/>
      <c r="J514" s="2027"/>
      <c r="K514" s="2027"/>
      <c r="L514" s="2027"/>
      <c r="M514" s="2027"/>
      <c r="N514" s="2027"/>
      <c r="O514" s="2027"/>
      <c r="P514" s="2027"/>
      <c r="Q514" s="2027"/>
      <c r="R514" s="2027"/>
      <c r="S514" s="2027"/>
      <c r="T514" s="2027"/>
      <c r="U514" s="2027"/>
      <c r="V514" s="2027"/>
      <c r="W514" s="2027"/>
      <c r="X514" s="2027"/>
      <c r="Y514" s="2027"/>
      <c r="Z514" s="2027"/>
      <c r="AA514" s="2027"/>
      <c r="AB514" s="2027"/>
      <c r="AC514" s="2027"/>
      <c r="AD514" s="2027"/>
      <c r="AE514" s="2027"/>
      <c r="AF514" s="2027"/>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1664</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1665</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2343</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1666</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2344</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1667</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1668</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1669</v>
      </c>
      <c r="AK524" s="1932">
        <f>SUM(AG468:AG513)</f>
        <v>0</v>
      </c>
      <c r="AL524" s="1933"/>
      <c r="AM524" s="1934"/>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1670</v>
      </c>
      <c r="B527" s="573" t="s">
        <v>1671</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38" t="s">
        <v>1672</v>
      </c>
      <c r="AF527" s="1938"/>
      <c r="AG527" s="1938"/>
      <c r="AH527" s="1938"/>
      <c r="AI527" s="1938"/>
      <c r="AJ527" s="1938"/>
      <c r="AK527" s="1938"/>
      <c r="AL527" s="629"/>
      <c r="AM527" s="629"/>
      <c r="AN527" s="631"/>
    </row>
    <row r="528" spans="1:81" s="584" customFormat="1" ht="12.75" customHeight="1">
      <c r="A528" s="573"/>
      <c r="B528" s="573" t="s">
        <v>1435</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47" t="s">
        <v>600</v>
      </c>
      <c r="D530" s="1947"/>
      <c r="E530" s="585"/>
      <c r="F530" s="2006" t="s">
        <v>1673</v>
      </c>
      <c r="G530" s="2007"/>
      <c r="H530" s="2007"/>
      <c r="I530" s="2007"/>
      <c r="J530" s="2007"/>
      <c r="K530" s="2007"/>
      <c r="L530" s="2007"/>
      <c r="M530" s="2007"/>
      <c r="N530" s="2007"/>
      <c r="O530" s="2007"/>
      <c r="P530" s="2007"/>
      <c r="Q530" s="2007"/>
      <c r="R530" s="2007"/>
      <c r="S530" s="2007"/>
      <c r="T530" s="2007"/>
      <c r="U530" s="2007"/>
      <c r="V530" s="2007"/>
      <c r="W530" s="2007"/>
      <c r="X530" s="2007"/>
      <c r="Y530" s="2007"/>
      <c r="Z530" s="2007"/>
      <c r="AA530" s="2007"/>
      <c r="AB530" s="2007"/>
      <c r="AC530" s="2007"/>
      <c r="AD530" s="2007"/>
      <c r="AE530" s="2007"/>
      <c r="AF530" s="2007"/>
      <c r="AG530" s="2007"/>
      <c r="AH530" s="2007"/>
      <c r="AI530" s="2007"/>
      <c r="AJ530" s="2007"/>
      <c r="AK530" s="2007"/>
      <c r="AL530" s="2008"/>
      <c r="AM530" s="629"/>
      <c r="AN530" s="631"/>
    </row>
    <row r="531" spans="1:49" s="584" customFormat="1" ht="12.75" customHeight="1">
      <c r="A531" s="573"/>
      <c r="B531" s="573"/>
      <c r="C531" s="585"/>
      <c r="D531" s="585"/>
      <c r="E531" s="585"/>
      <c r="F531" s="2009"/>
      <c r="G531" s="2010"/>
      <c r="H531" s="2010"/>
      <c r="I531" s="2010"/>
      <c r="J531" s="2010"/>
      <c r="K531" s="2010"/>
      <c r="L531" s="2010"/>
      <c r="M531" s="2010"/>
      <c r="N531" s="2010"/>
      <c r="O531" s="2010"/>
      <c r="P531" s="2010"/>
      <c r="Q531" s="2010"/>
      <c r="R531" s="2010"/>
      <c r="S531" s="2010"/>
      <c r="T531" s="2010"/>
      <c r="U531" s="2010"/>
      <c r="V531" s="2010"/>
      <c r="W531" s="2010"/>
      <c r="X531" s="2010"/>
      <c r="Y531" s="2010"/>
      <c r="Z531" s="2010"/>
      <c r="AA531" s="2010"/>
      <c r="AB531" s="2010"/>
      <c r="AC531" s="2010"/>
      <c r="AD531" s="2010"/>
      <c r="AE531" s="2010"/>
      <c r="AF531" s="2010"/>
      <c r="AG531" s="2010"/>
      <c r="AH531" s="2010"/>
      <c r="AI531" s="2010"/>
      <c r="AJ531" s="2010"/>
      <c r="AK531" s="2010"/>
      <c r="AL531" s="2011"/>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47" t="s">
        <v>554</v>
      </c>
      <c r="D533" s="1947"/>
      <c r="E533" s="840"/>
      <c r="F533" s="678" t="s">
        <v>1674</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24" t="s">
        <v>1675</v>
      </c>
      <c r="G534" s="1925"/>
      <c r="H534" s="1925"/>
      <c r="I534" s="1925"/>
      <c r="J534" s="1925"/>
      <c r="K534" s="1925"/>
      <c r="L534" s="1925"/>
      <c r="M534" s="1925"/>
      <c r="N534" s="1925"/>
      <c r="O534" s="1925"/>
      <c r="P534" s="1925"/>
      <c r="Q534" s="1925"/>
      <c r="R534" s="1925"/>
      <c r="S534" s="1925"/>
      <c r="T534" s="1925"/>
      <c r="U534" s="1925"/>
      <c r="V534" s="1925"/>
      <c r="W534" s="1925"/>
      <c r="X534" s="1925"/>
      <c r="Y534" s="1925"/>
      <c r="Z534" s="1925"/>
      <c r="AA534" s="1925"/>
      <c r="AB534" s="1925"/>
      <c r="AC534" s="1925"/>
      <c r="AD534" s="1925"/>
      <c r="AE534" s="1925"/>
      <c r="AF534" s="1925"/>
      <c r="AG534" s="1925"/>
      <c r="AH534" s="1925"/>
      <c r="AI534" s="1925"/>
      <c r="AJ534" s="1925"/>
      <c r="AK534" s="1925"/>
      <c r="AL534" s="1926"/>
      <c r="AM534" s="629"/>
      <c r="AN534" s="631"/>
      <c r="AS534" s="904"/>
      <c r="AT534" s="904"/>
      <c r="AU534" s="904"/>
      <c r="AV534" s="904"/>
      <c r="AW534" s="904"/>
    </row>
    <row r="535" spans="1:49" s="584" customFormat="1" ht="12.75" customHeight="1">
      <c r="B535" s="840"/>
      <c r="C535" s="840"/>
      <c r="D535" s="840"/>
      <c r="E535" s="840"/>
      <c r="F535" s="1924"/>
      <c r="G535" s="1925"/>
      <c r="H535" s="1925"/>
      <c r="I535" s="1925"/>
      <c r="J535" s="1925"/>
      <c r="K535" s="1925"/>
      <c r="L535" s="1925"/>
      <c r="M535" s="1925"/>
      <c r="N535" s="1925"/>
      <c r="O535" s="1925"/>
      <c r="P535" s="1925"/>
      <c r="Q535" s="1925"/>
      <c r="R535" s="1925"/>
      <c r="S535" s="1925"/>
      <c r="T535" s="1925"/>
      <c r="U535" s="1925"/>
      <c r="V535" s="1925"/>
      <c r="W535" s="1925"/>
      <c r="X535" s="1925"/>
      <c r="Y535" s="1925"/>
      <c r="Z535" s="1925"/>
      <c r="AA535" s="1925"/>
      <c r="AB535" s="1925"/>
      <c r="AC535" s="1925"/>
      <c r="AD535" s="1925"/>
      <c r="AE535" s="1925"/>
      <c r="AF535" s="1925"/>
      <c r="AG535" s="1925"/>
      <c r="AH535" s="1925"/>
      <c r="AI535" s="1925"/>
      <c r="AJ535" s="1925"/>
      <c r="AK535" s="1925"/>
      <c r="AL535" s="1926"/>
      <c r="AM535" s="629"/>
      <c r="AN535" s="631"/>
    </row>
    <row r="536" spans="1:49" s="584" customFormat="1" ht="12.75" customHeight="1">
      <c r="B536" s="840"/>
      <c r="C536" s="840"/>
      <c r="D536" s="840"/>
      <c r="E536" s="840"/>
      <c r="F536" s="845" t="s">
        <v>2345</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24" t="s">
        <v>1676</v>
      </c>
      <c r="G537" s="1925"/>
      <c r="H537" s="1925"/>
      <c r="I537" s="1925"/>
      <c r="J537" s="1925"/>
      <c r="K537" s="1925"/>
      <c r="L537" s="1925"/>
      <c r="M537" s="1925"/>
      <c r="N537" s="1925"/>
      <c r="O537" s="1925"/>
      <c r="P537" s="1925"/>
      <c r="Q537" s="1925"/>
      <c r="R537" s="1925"/>
      <c r="S537" s="1925"/>
      <c r="T537" s="1925"/>
      <c r="U537" s="1925"/>
      <c r="V537" s="1925"/>
      <c r="W537" s="1925"/>
      <c r="X537" s="1925"/>
      <c r="Y537" s="1925"/>
      <c r="Z537" s="1925"/>
      <c r="AA537" s="1925"/>
      <c r="AB537" s="1925"/>
      <c r="AC537" s="1925"/>
      <c r="AD537" s="1925"/>
      <c r="AE537" s="1925"/>
      <c r="AF537" s="1925"/>
      <c r="AG537" s="1925"/>
      <c r="AH537" s="1925"/>
      <c r="AI537" s="1925"/>
      <c r="AJ537" s="1925"/>
      <c r="AK537" s="1925"/>
      <c r="AL537" s="847"/>
      <c r="AM537" s="629"/>
      <c r="AN537" s="631"/>
    </row>
    <row r="538" spans="1:49" s="584" customFormat="1" ht="12.75" customHeight="1">
      <c r="B538" s="840"/>
      <c r="C538" s="840"/>
      <c r="D538" s="840"/>
      <c r="E538" s="840"/>
      <c r="F538" s="1927"/>
      <c r="G538" s="1928"/>
      <c r="H538" s="1928"/>
      <c r="I538" s="1928"/>
      <c r="J538" s="1928"/>
      <c r="K538" s="1928"/>
      <c r="L538" s="1928"/>
      <c r="M538" s="1928"/>
      <c r="N538" s="1928"/>
      <c r="O538" s="1928"/>
      <c r="P538" s="1928"/>
      <c r="Q538" s="1928"/>
      <c r="R538" s="1928"/>
      <c r="S538" s="1928"/>
      <c r="T538" s="1928"/>
      <c r="U538" s="1928"/>
      <c r="V538" s="1928"/>
      <c r="W538" s="1928"/>
      <c r="X538" s="1928"/>
      <c r="Y538" s="1928"/>
      <c r="Z538" s="1928"/>
      <c r="AA538" s="1928"/>
      <c r="AB538" s="1928"/>
      <c r="AC538" s="1928"/>
      <c r="AD538" s="1928"/>
      <c r="AE538" s="1928"/>
      <c r="AF538" s="1928"/>
      <c r="AG538" s="1928"/>
      <c r="AH538" s="1928"/>
      <c r="AI538" s="1928"/>
      <c r="AJ538" s="1928"/>
      <c r="AK538" s="1928"/>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19">
        <f>Application!AJ991</f>
        <v>71478454</v>
      </c>
      <c r="AQ539" s="1919"/>
      <c r="AR539" s="1919"/>
      <c r="AS539" s="584" t="s">
        <v>2532</v>
      </c>
    </row>
    <row r="540" spans="1:49" s="584" customFormat="1" ht="12.75" customHeight="1">
      <c r="A540" s="532"/>
      <c r="B540" s="481" t="s">
        <v>1677</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29">
        <f>'Sources and Uses Budget'!S107+'Sources and Uses Budget'!T107</f>
        <v>103279327</v>
      </c>
      <c r="AG540" s="1929"/>
      <c r="AH540" s="1929"/>
      <c r="AI540" s="1929"/>
      <c r="AJ540" s="1929"/>
      <c r="AK540" s="629"/>
      <c r="AL540" s="629"/>
      <c r="AM540" s="629"/>
      <c r="AN540" s="631"/>
    </row>
    <row r="541" spans="1:49" s="584" customFormat="1" ht="12.75" customHeight="1">
      <c r="A541" s="659"/>
      <c r="B541" s="659" t="s">
        <v>1678</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30">
        <f>IFERROR(AP548,0)</f>
        <v>157969087.20000002</v>
      </c>
      <c r="AG541" s="1930"/>
      <c r="AH541" s="1930"/>
      <c r="AI541" s="1930"/>
      <c r="AJ541" s="1930"/>
      <c r="AK541" s="629"/>
      <c r="AL541" s="629"/>
      <c r="AM541" s="629"/>
      <c r="AN541" s="631"/>
      <c r="AP541" s="1919">
        <f>Application!AJ1044</f>
        <v>29306166.139999997</v>
      </c>
      <c r="AQ541" s="1919"/>
      <c r="AR541" s="1919"/>
      <c r="AS541" s="584" t="s">
        <v>2056</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31">
        <f>IFERROR(ROUNDDOWN(IF(C533="YES",((1-(AF540/AF541))*2),(1-(AF540/AF541))),2),0)</f>
        <v>0.69</v>
      </c>
      <c r="AG542" s="1931"/>
      <c r="AH542" s="1931"/>
      <c r="AI542" s="1931"/>
      <c r="AJ542" s="1931"/>
      <c r="AK542" s="629"/>
      <c r="AL542" s="629"/>
      <c r="AM542" s="629"/>
      <c r="AN542" s="631"/>
      <c r="AP542" s="1920">
        <f>Application!AJ1048</f>
        <v>37168796.079999998</v>
      </c>
      <c r="AQ542" s="1920"/>
      <c r="AR542" s="1920"/>
      <c r="AS542" s="584" t="s">
        <v>2533</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39">
        <f>IF(((AP541+AP542)/AP539)&gt;0.8,0.8,((AP541+AP542)/AP539))</f>
        <v>0.8</v>
      </c>
      <c r="AQ543" s="1939"/>
      <c r="AR543" s="1939"/>
      <c r="AS543" s="584" t="s">
        <v>2534</v>
      </c>
    </row>
    <row r="544" spans="1:49" s="584" customFormat="1" ht="12.75" customHeight="1">
      <c r="A544" s="658"/>
      <c r="B544" s="1985" t="s">
        <v>2346</v>
      </c>
      <c r="C544" s="1986"/>
      <c r="D544" s="1986"/>
      <c r="E544" s="1986"/>
      <c r="F544" s="1986"/>
      <c r="G544" s="1986"/>
      <c r="H544" s="1986"/>
      <c r="I544" s="1986"/>
      <c r="J544" s="1986"/>
      <c r="K544" s="1986"/>
      <c r="L544" s="1986"/>
      <c r="M544" s="1986"/>
      <c r="N544" s="1986"/>
      <c r="O544" s="1986"/>
      <c r="P544" s="1986"/>
      <c r="Q544" s="1986"/>
      <c r="R544" s="1986"/>
      <c r="S544" s="1986"/>
      <c r="T544" s="1986"/>
      <c r="U544" s="1986"/>
      <c r="V544" s="1986"/>
      <c r="W544" s="1986"/>
      <c r="X544" s="1986"/>
      <c r="Y544" s="1986"/>
      <c r="Z544" s="1986"/>
      <c r="AA544" s="1986"/>
      <c r="AB544" s="1986"/>
      <c r="AC544" s="1986"/>
      <c r="AD544" s="1986"/>
      <c r="AE544" s="1986"/>
      <c r="AF544" s="1986"/>
      <c r="AG544" s="1986"/>
      <c r="AH544" s="1986"/>
      <c r="AI544" s="1986"/>
      <c r="AJ544" s="1987"/>
      <c r="AK544" s="629"/>
      <c r="AL544" s="629"/>
      <c r="AM544" s="629"/>
      <c r="AN544" s="631"/>
    </row>
    <row r="545" spans="1:45" s="584" customFormat="1" ht="12.75" customHeight="1">
      <c r="A545" s="658"/>
      <c r="B545" s="1988"/>
      <c r="C545" s="1989"/>
      <c r="D545" s="1989"/>
      <c r="E545" s="1989"/>
      <c r="F545" s="1989"/>
      <c r="G545" s="1989"/>
      <c r="H545" s="1989"/>
      <c r="I545" s="1989"/>
      <c r="J545" s="1989"/>
      <c r="K545" s="1989"/>
      <c r="L545" s="1989"/>
      <c r="M545" s="1989"/>
      <c r="N545" s="1989"/>
      <c r="O545" s="1989"/>
      <c r="P545" s="1989"/>
      <c r="Q545" s="1989"/>
      <c r="R545" s="1989"/>
      <c r="S545" s="1989"/>
      <c r="T545" s="1989"/>
      <c r="U545" s="1989"/>
      <c r="V545" s="1989"/>
      <c r="W545" s="1989"/>
      <c r="X545" s="1989"/>
      <c r="Y545" s="1989"/>
      <c r="Z545" s="1989"/>
      <c r="AA545" s="1989"/>
      <c r="AB545" s="1989"/>
      <c r="AC545" s="1989"/>
      <c r="AD545" s="1989"/>
      <c r="AE545" s="1989"/>
      <c r="AF545" s="1989"/>
      <c r="AG545" s="1989"/>
      <c r="AH545" s="1989"/>
      <c r="AI545" s="1989"/>
      <c r="AJ545" s="1990"/>
      <c r="AK545" s="629"/>
      <c r="AL545" s="629"/>
      <c r="AM545" s="629"/>
      <c r="AN545" s="631"/>
      <c r="AP545" s="1919">
        <f>AP546-AP541-AP542</f>
        <v>100786324.00000001</v>
      </c>
      <c r="AQ545" s="1940"/>
      <c r="AR545" s="1940"/>
      <c r="AS545" s="584" t="s">
        <v>2536</v>
      </c>
    </row>
    <row r="546" spans="1:45" s="584" customFormat="1" ht="12.75" customHeight="1">
      <c r="A546" s="658"/>
      <c r="B546" s="1991"/>
      <c r="C546" s="1992"/>
      <c r="D546" s="1992"/>
      <c r="E546" s="1992"/>
      <c r="F546" s="1992"/>
      <c r="G546" s="1992"/>
      <c r="H546" s="1992"/>
      <c r="I546" s="1992"/>
      <c r="J546" s="1992"/>
      <c r="K546" s="1992"/>
      <c r="L546" s="1992"/>
      <c r="M546" s="1992"/>
      <c r="N546" s="1992"/>
      <c r="O546" s="1992"/>
      <c r="P546" s="1992"/>
      <c r="Q546" s="1992"/>
      <c r="R546" s="1992"/>
      <c r="S546" s="1992"/>
      <c r="T546" s="1992"/>
      <c r="U546" s="1992"/>
      <c r="V546" s="1992"/>
      <c r="W546" s="1992"/>
      <c r="X546" s="1992"/>
      <c r="Y546" s="1992"/>
      <c r="Z546" s="1992"/>
      <c r="AA546" s="1992"/>
      <c r="AB546" s="1992"/>
      <c r="AC546" s="1992"/>
      <c r="AD546" s="1992"/>
      <c r="AE546" s="1992"/>
      <c r="AF546" s="1992"/>
      <c r="AG546" s="1992"/>
      <c r="AH546" s="1992"/>
      <c r="AI546" s="1992"/>
      <c r="AJ546" s="1993"/>
      <c r="AK546" s="629"/>
      <c r="AL546" s="629"/>
      <c r="AM546" s="629"/>
      <c r="AN546" s="631"/>
      <c r="AP546" s="1919">
        <f>Application!AJ1052</f>
        <v>167261286.22</v>
      </c>
      <c r="AQ546" s="1919"/>
      <c r="AR546" s="1919"/>
      <c r="AS546" s="584" t="s">
        <v>2535</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1679</v>
      </c>
      <c r="AK548" s="1994">
        <f>IFERROR(IF(AND(C530="N/A",C533="N/A"),0,IF(AF542=0,0,IF((AF542*100)&gt;12,12,(AF542*100)))),0)</f>
        <v>12</v>
      </c>
      <c r="AL548" s="1994"/>
      <c r="AM548" s="1995"/>
      <c r="AN548" s="631"/>
      <c r="AP548" s="1908">
        <f>AP545+(AP539*AP543)</f>
        <v>157969087.20000002</v>
      </c>
      <c r="AQ548" s="1909"/>
      <c r="AR548" s="1910"/>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2336</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38" t="s">
        <v>1425</v>
      </c>
      <c r="AF551" s="1938"/>
      <c r="AG551" s="1938"/>
      <c r="AH551" s="1938"/>
      <c r="AI551" s="1938"/>
      <c r="AJ551" s="1938"/>
      <c r="AK551" s="1938"/>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25" t="s">
        <v>2337</v>
      </c>
      <c r="C553" s="1925"/>
      <c r="D553" s="1925"/>
      <c r="E553" s="1925"/>
      <c r="F553" s="1925"/>
      <c r="G553" s="1925"/>
      <c r="H553" s="1925"/>
      <c r="I553" s="1925"/>
      <c r="J553" s="1925"/>
      <c r="K553" s="1925"/>
      <c r="L553" s="1925"/>
      <c r="M553" s="1925"/>
      <c r="N553" s="1925"/>
      <c r="O553" s="1925"/>
      <c r="P553" s="1925"/>
      <c r="Q553" s="1925"/>
      <c r="R553" s="1925"/>
      <c r="S553" s="1925"/>
      <c r="T553" s="1925"/>
      <c r="U553" s="1925"/>
      <c r="V553" s="1925"/>
      <c r="W553" s="1925"/>
      <c r="X553" s="1925"/>
      <c r="Y553" s="1925"/>
      <c r="Z553" s="1925"/>
      <c r="AA553" s="1925"/>
      <c r="AB553" s="1925"/>
      <c r="AC553" s="1925"/>
      <c r="AD553" s="1925"/>
      <c r="AE553" s="1925"/>
      <c r="AF553" s="1925"/>
      <c r="AG553" s="1925"/>
      <c r="AH553" s="1925"/>
      <c r="AI553" s="1925"/>
      <c r="AJ553" s="1925"/>
      <c r="AK553" s="676"/>
      <c r="AL553" s="607"/>
      <c r="AM553" s="637"/>
      <c r="AN553" s="631"/>
    </row>
    <row r="554" spans="1:45" s="584" customFormat="1" ht="12.75" customHeight="1">
      <c r="A554" s="637"/>
      <c r="B554" s="1925"/>
      <c r="C554" s="1925"/>
      <c r="D554" s="1925"/>
      <c r="E554" s="1925"/>
      <c r="F554" s="1925"/>
      <c r="G554" s="1925"/>
      <c r="H554" s="1925"/>
      <c r="I554" s="1925"/>
      <c r="J554" s="1925"/>
      <c r="K554" s="1925"/>
      <c r="L554" s="1925"/>
      <c r="M554" s="1925"/>
      <c r="N554" s="1925"/>
      <c r="O554" s="1925"/>
      <c r="P554" s="1925"/>
      <c r="Q554" s="1925"/>
      <c r="R554" s="1925"/>
      <c r="S554" s="1925"/>
      <c r="T554" s="1925"/>
      <c r="U554" s="1925"/>
      <c r="V554" s="1925"/>
      <c r="W554" s="1925"/>
      <c r="X554" s="1925"/>
      <c r="Y554" s="1925"/>
      <c r="Z554" s="1925"/>
      <c r="AA554" s="1925"/>
      <c r="AB554" s="1925"/>
      <c r="AC554" s="1925"/>
      <c r="AD554" s="1925"/>
      <c r="AE554" s="1925"/>
      <c r="AF554" s="1925"/>
      <c r="AG554" s="1925"/>
      <c r="AH554" s="1925"/>
      <c r="AI554" s="1925"/>
      <c r="AJ554" s="1925"/>
      <c r="AK554" s="676"/>
      <c r="AL554" s="607"/>
      <c r="AM554" s="637"/>
      <c r="AN554" s="631"/>
    </row>
    <row r="555" spans="1:45" s="584" customFormat="1" ht="12.75" customHeight="1">
      <c r="A555" s="637"/>
      <c r="B555" s="1925"/>
      <c r="C555" s="1925"/>
      <c r="D555" s="1925"/>
      <c r="E555" s="1925"/>
      <c r="F555" s="1925"/>
      <c r="G555" s="1925"/>
      <c r="H555" s="1925"/>
      <c r="I555" s="1925"/>
      <c r="J555" s="1925"/>
      <c r="K555" s="1925"/>
      <c r="L555" s="1925"/>
      <c r="M555" s="1925"/>
      <c r="N555" s="1925"/>
      <c r="O555" s="1925"/>
      <c r="P555" s="1925"/>
      <c r="Q555" s="1925"/>
      <c r="R555" s="1925"/>
      <c r="S555" s="1925"/>
      <c r="T555" s="1925"/>
      <c r="U555" s="1925"/>
      <c r="V555" s="1925"/>
      <c r="W555" s="1925"/>
      <c r="X555" s="1925"/>
      <c r="Y555" s="1925"/>
      <c r="Z555" s="1925"/>
      <c r="AA555" s="1925"/>
      <c r="AB555" s="1925"/>
      <c r="AC555" s="1925"/>
      <c r="AD555" s="1925"/>
      <c r="AE555" s="1925"/>
      <c r="AF555" s="1925"/>
      <c r="AG555" s="1925"/>
      <c r="AH555" s="1925"/>
      <c r="AI555" s="1925"/>
      <c r="AJ555" s="1925"/>
      <c r="AK555" s="676"/>
      <c r="AL555" s="607"/>
      <c r="AM555" s="637"/>
      <c r="AN555" s="631"/>
    </row>
    <row r="556" spans="1:45" s="584" customFormat="1" ht="12.75" customHeight="1">
      <c r="A556" s="637"/>
      <c r="B556" s="1925"/>
      <c r="C556" s="1925"/>
      <c r="D556" s="1925"/>
      <c r="E556" s="1925"/>
      <c r="F556" s="1925"/>
      <c r="G556" s="1925"/>
      <c r="H556" s="1925"/>
      <c r="I556" s="1925"/>
      <c r="J556" s="1925"/>
      <c r="K556" s="1925"/>
      <c r="L556" s="1925"/>
      <c r="M556" s="1925"/>
      <c r="N556" s="1925"/>
      <c r="O556" s="1925"/>
      <c r="P556" s="1925"/>
      <c r="Q556" s="1925"/>
      <c r="R556" s="1925"/>
      <c r="S556" s="1925"/>
      <c r="T556" s="1925"/>
      <c r="U556" s="1925"/>
      <c r="V556" s="1925"/>
      <c r="W556" s="1925"/>
      <c r="X556" s="1925"/>
      <c r="Y556" s="1925"/>
      <c r="Z556" s="1925"/>
      <c r="AA556" s="1925"/>
      <c r="AB556" s="1925"/>
      <c r="AC556" s="1925"/>
      <c r="AD556" s="1925"/>
      <c r="AE556" s="1925"/>
      <c r="AF556" s="1925"/>
      <c r="AG556" s="1925"/>
      <c r="AH556" s="1925"/>
      <c r="AI556" s="1925"/>
      <c r="AJ556" s="1925"/>
      <c r="AK556" s="676"/>
      <c r="AL556" s="607"/>
      <c r="AM556" s="637"/>
      <c r="AN556" s="631"/>
    </row>
    <row r="557" spans="1:45" s="584" customFormat="1" ht="12.75" customHeight="1">
      <c r="A557" s="637"/>
      <c r="B557" s="1925"/>
      <c r="C557" s="1925"/>
      <c r="D557" s="1925"/>
      <c r="E557" s="1925"/>
      <c r="F557" s="1925"/>
      <c r="G557" s="1925"/>
      <c r="H557" s="1925"/>
      <c r="I557" s="1925"/>
      <c r="J557" s="1925"/>
      <c r="K557" s="1925"/>
      <c r="L557" s="1925"/>
      <c r="M557" s="1925"/>
      <c r="N557" s="1925"/>
      <c r="O557" s="1925"/>
      <c r="P557" s="1925"/>
      <c r="Q557" s="1925"/>
      <c r="R557" s="1925"/>
      <c r="S557" s="1925"/>
      <c r="T557" s="1925"/>
      <c r="U557" s="1925"/>
      <c r="V557" s="1925"/>
      <c r="W557" s="1925"/>
      <c r="X557" s="1925"/>
      <c r="Y557" s="1925"/>
      <c r="Z557" s="1925"/>
      <c r="AA557" s="1925"/>
      <c r="AB557" s="1925"/>
      <c r="AC557" s="1925"/>
      <c r="AD557" s="1925"/>
      <c r="AE557" s="1925"/>
      <c r="AF557" s="1925"/>
      <c r="AG557" s="1925"/>
      <c r="AH557" s="1925"/>
      <c r="AI557" s="1925"/>
      <c r="AJ557" s="1925"/>
      <c r="AK557" s="676"/>
      <c r="AL557" s="607"/>
      <c r="AM557" s="637"/>
      <c r="AN557" s="631"/>
    </row>
    <row r="558" spans="1:45" s="584" customFormat="1" ht="12.75" customHeight="1">
      <c r="A558" s="637"/>
      <c r="B558" s="1925"/>
      <c r="C558" s="1925"/>
      <c r="D558" s="1925"/>
      <c r="E558" s="1925"/>
      <c r="F558" s="1925"/>
      <c r="G558" s="1925"/>
      <c r="H558" s="1925"/>
      <c r="I558" s="1925"/>
      <c r="J558" s="1925"/>
      <c r="K558" s="1925"/>
      <c r="L558" s="1925"/>
      <c r="M558" s="1925"/>
      <c r="N558" s="1925"/>
      <c r="O558" s="1925"/>
      <c r="P558" s="1925"/>
      <c r="Q558" s="1925"/>
      <c r="R558" s="1925"/>
      <c r="S558" s="1925"/>
      <c r="T558" s="1925"/>
      <c r="U558" s="1925"/>
      <c r="V558" s="1925"/>
      <c r="W558" s="1925"/>
      <c r="X558" s="1925"/>
      <c r="Y558" s="1925"/>
      <c r="Z558" s="1925"/>
      <c r="AA558" s="1925"/>
      <c r="AB558" s="1925"/>
      <c r="AC558" s="1925"/>
      <c r="AD558" s="1925"/>
      <c r="AE558" s="1925"/>
      <c r="AF558" s="1925"/>
      <c r="AG558" s="1925"/>
      <c r="AH558" s="1925"/>
      <c r="AI558" s="1925"/>
      <c r="AJ558" s="1925"/>
      <c r="AK558" s="676"/>
      <c r="AL558" s="607"/>
      <c r="AM558" s="637"/>
      <c r="AN558" s="631"/>
    </row>
    <row r="559" spans="1:45" s="584" customFormat="1" ht="12.75" customHeight="1">
      <c r="A559" s="637"/>
      <c r="B559" s="1925"/>
      <c r="C559" s="1925"/>
      <c r="D559" s="1925"/>
      <c r="E559" s="1925"/>
      <c r="F559" s="1925"/>
      <c r="G559" s="1925"/>
      <c r="H559" s="1925"/>
      <c r="I559" s="1925"/>
      <c r="J559" s="1925"/>
      <c r="K559" s="1925"/>
      <c r="L559" s="1925"/>
      <c r="M559" s="1925"/>
      <c r="N559" s="1925"/>
      <c r="O559" s="1925"/>
      <c r="P559" s="1925"/>
      <c r="Q559" s="1925"/>
      <c r="R559" s="1925"/>
      <c r="S559" s="1925"/>
      <c r="T559" s="1925"/>
      <c r="U559" s="1925"/>
      <c r="V559" s="1925"/>
      <c r="W559" s="1925"/>
      <c r="X559" s="1925"/>
      <c r="Y559" s="1925"/>
      <c r="Z559" s="1925"/>
      <c r="AA559" s="1925"/>
      <c r="AB559" s="1925"/>
      <c r="AC559" s="1925"/>
      <c r="AD559" s="1925"/>
      <c r="AE559" s="1925"/>
      <c r="AF559" s="1925"/>
      <c r="AG559" s="1925"/>
      <c r="AH559" s="1925"/>
      <c r="AI559" s="1925"/>
      <c r="AJ559" s="1925"/>
      <c r="AK559" s="676"/>
      <c r="AL559" s="607"/>
      <c r="AM559" s="637"/>
      <c r="AN559" s="631"/>
    </row>
    <row r="560" spans="1:45" ht="12.75" customHeight="1">
      <c r="A560" s="637"/>
      <c r="B560" s="1925"/>
      <c r="C560" s="1925"/>
      <c r="D560" s="1925"/>
      <c r="E560" s="1925"/>
      <c r="F560" s="1925"/>
      <c r="G560" s="1925"/>
      <c r="H560" s="1925"/>
      <c r="I560" s="1925"/>
      <c r="J560" s="1925"/>
      <c r="K560" s="1925"/>
      <c r="L560" s="1925"/>
      <c r="M560" s="1925"/>
      <c r="N560" s="1925"/>
      <c r="O560" s="1925"/>
      <c r="P560" s="1925"/>
      <c r="Q560" s="1925"/>
      <c r="R560" s="1925"/>
      <c r="S560" s="1925"/>
      <c r="T560" s="1925"/>
      <c r="U560" s="1925"/>
      <c r="V560" s="1925"/>
      <c r="W560" s="1925"/>
      <c r="X560" s="1925"/>
      <c r="Y560" s="1925"/>
      <c r="Z560" s="1925"/>
      <c r="AA560" s="1925"/>
      <c r="AB560" s="1925"/>
      <c r="AC560" s="1925"/>
      <c r="AD560" s="1925"/>
      <c r="AE560" s="1925"/>
      <c r="AF560" s="1925"/>
      <c r="AG560" s="1925"/>
      <c r="AH560" s="1925"/>
      <c r="AI560" s="1925"/>
      <c r="AJ560" s="1925"/>
      <c r="AK560" s="676"/>
      <c r="AL560" s="607"/>
      <c r="AM560" s="637"/>
    </row>
    <row r="561" spans="1:42" s="584" customFormat="1" ht="12.75" customHeight="1">
      <c r="B561" s="1925"/>
      <c r="C561" s="1925"/>
      <c r="D561" s="1925"/>
      <c r="E561" s="1925"/>
      <c r="F561" s="1925"/>
      <c r="G561" s="1925"/>
      <c r="H561" s="1925"/>
      <c r="I561" s="1925"/>
      <c r="J561" s="1925"/>
      <c r="K561" s="1925"/>
      <c r="L561" s="1925"/>
      <c r="M561" s="1925"/>
      <c r="N561" s="1925"/>
      <c r="O561" s="1925"/>
      <c r="P561" s="1925"/>
      <c r="Q561" s="1925"/>
      <c r="R561" s="1925"/>
      <c r="S561" s="1925"/>
      <c r="T561" s="1925"/>
      <c r="U561" s="1925"/>
      <c r="V561" s="1925"/>
      <c r="W561" s="1925"/>
      <c r="X561" s="1925"/>
      <c r="Y561" s="1925"/>
      <c r="Z561" s="1925"/>
      <c r="AA561" s="1925"/>
      <c r="AB561" s="1925"/>
      <c r="AC561" s="1925"/>
      <c r="AD561" s="1925"/>
      <c r="AE561" s="1925"/>
      <c r="AF561" s="1925"/>
      <c r="AG561" s="1925"/>
      <c r="AH561" s="1925"/>
      <c r="AI561" s="1925"/>
      <c r="AJ561" s="1925"/>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1505</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1506</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1888</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2005" t="s">
        <v>1449</v>
      </c>
      <c r="AG567" s="2005"/>
      <c r="AH567" s="2005"/>
      <c r="AI567" s="2005"/>
      <c r="AJ567" s="2005"/>
      <c r="AK567" s="2005"/>
      <c r="AL567" s="2005"/>
      <c r="AN567" s="631"/>
    </row>
    <row r="568" spans="1:42" s="584" customFormat="1" ht="12.75" customHeight="1">
      <c r="B568" s="570"/>
      <c r="C568" s="650"/>
      <c r="D568" s="697"/>
      <c r="E568" s="872" t="s">
        <v>1889</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1890</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1891</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1892</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2537</v>
      </c>
      <c r="AP571" s="584" t="b">
        <f>IF(Application!AF418&gt;=25,TRUE,FALSE)</f>
        <v>1</v>
      </c>
    </row>
    <row r="572" spans="1:42" s="584" customFormat="1" ht="12.75" customHeight="1">
      <c r="B572" s="570"/>
      <c r="C572" s="650"/>
      <c r="D572" s="697"/>
      <c r="E572" s="872" t="s">
        <v>1893</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2538</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1894</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2005" t="s">
        <v>1507</v>
      </c>
      <c r="AG574" s="2005"/>
      <c r="AH574" s="2005"/>
      <c r="AI574" s="2005"/>
      <c r="AJ574" s="2005"/>
      <c r="AK574" s="2005"/>
      <c r="AL574" s="2005"/>
      <c r="AN574" s="631"/>
    </row>
    <row r="575" spans="1:42" s="584" customFormat="1" ht="12.75" customHeight="1">
      <c r="B575" s="570"/>
      <c r="C575" s="968"/>
      <c r="D575" s="697"/>
      <c r="E575" s="872" t="s">
        <v>1895</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1896</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7</v>
      </c>
    </row>
    <row r="577" spans="1:53" s="584" customFormat="1" ht="12.75" customHeight="1">
      <c r="B577" s="644"/>
      <c r="C577" s="966"/>
      <c r="D577" s="697"/>
      <c r="E577" s="872" t="s">
        <v>1898</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1897</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1508</v>
      </c>
      <c r="AP579" s="584">
        <v>4</v>
      </c>
    </row>
    <row r="580" spans="1:53" s="584" customFormat="1" ht="12.75" customHeight="1">
      <c r="B580" s="570"/>
      <c r="C580" s="966"/>
      <c r="D580" s="697" t="s">
        <v>279</v>
      </c>
      <c r="E580" s="872" t="s">
        <v>1899</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2005" t="s">
        <v>1489</v>
      </c>
      <c r="AG580" s="2005"/>
      <c r="AH580" s="2005"/>
      <c r="AI580" s="2005"/>
      <c r="AJ580" s="2005"/>
      <c r="AK580" s="2005"/>
      <c r="AL580" s="2005"/>
      <c r="AN580" s="631"/>
      <c r="AO580" s="645" t="s">
        <v>1509</v>
      </c>
      <c r="AP580" s="584">
        <v>3</v>
      </c>
    </row>
    <row r="581" spans="1:53" s="584" customFormat="1" ht="12.75" customHeight="1">
      <c r="B581" s="570"/>
      <c r="C581" s="968"/>
      <c r="D581" s="697"/>
      <c r="E581" s="872" t="s">
        <v>1895</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1896</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2540</v>
      </c>
    </row>
    <row r="583" spans="1:53" s="584" customFormat="1" ht="12.75" customHeight="1">
      <c r="B583" s="570"/>
      <c r="C583" s="968"/>
      <c r="D583" s="697"/>
      <c r="E583" s="872" t="s">
        <v>1898</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2541</v>
      </c>
    </row>
    <row r="584" spans="1:53" s="584" customFormat="1" ht="12.75" customHeight="1">
      <c r="B584" s="570"/>
      <c r="C584" s="968"/>
      <c r="D584" s="697"/>
      <c r="E584" s="872" t="s">
        <v>1897</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2542</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1508</v>
      </c>
      <c r="E586" s="872" t="s">
        <v>1900</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2005" t="s">
        <v>1510</v>
      </c>
      <c r="AG586" s="2005"/>
      <c r="AH586" s="2005"/>
      <c r="AI586" s="2005"/>
      <c r="AJ586" s="2005"/>
      <c r="AK586" s="2005"/>
      <c r="AL586" s="2005"/>
      <c r="AN586" s="631"/>
      <c r="AO586" s="584" t="str">
        <f>X623</f>
        <v>N/A</v>
      </c>
    </row>
    <row r="587" spans="1:53" s="584" customFormat="1" ht="12.75" customHeight="1">
      <c r="B587" s="570"/>
      <c r="C587" s="968"/>
      <c r="D587" s="697"/>
      <c r="E587" s="872" t="s">
        <v>1901</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1902</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2543</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2544</v>
      </c>
    </row>
    <row r="590" spans="1:53" s="584" customFormat="1" ht="12.75" customHeight="1">
      <c r="B590" s="644"/>
      <c r="C590" s="966"/>
      <c r="D590" s="697"/>
      <c r="E590" s="570" t="s">
        <v>2057</v>
      </c>
      <c r="O590" s="2044" t="s">
        <v>1291</v>
      </c>
      <c r="P590" s="2044"/>
      <c r="Q590" s="2044"/>
      <c r="R590" s="2044"/>
      <c r="S590" s="2044"/>
      <c r="T590" s="2044"/>
      <c r="U590" s="2044"/>
      <c r="V590" s="2044"/>
      <c r="W590" s="2044"/>
      <c r="X590" s="2044"/>
      <c r="Y590" s="2044"/>
      <c r="Z590" s="2044"/>
      <c r="AA590" s="2044"/>
      <c r="AB590" s="2044"/>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1509</v>
      </c>
      <c r="E592" s="872" t="s">
        <v>1904</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2005" t="s">
        <v>1463</v>
      </c>
      <c r="AG592" s="2005"/>
      <c r="AH592" s="2005"/>
      <c r="AI592" s="2005"/>
      <c r="AJ592" s="2005"/>
      <c r="AK592" s="2005"/>
      <c r="AL592" s="2005"/>
      <c r="AN592" s="631"/>
    </row>
    <row r="593" spans="2:47" s="584" customFormat="1" ht="12.75" customHeight="1">
      <c r="B593" s="570"/>
      <c r="C593" s="966"/>
      <c r="D593" s="697"/>
      <c r="E593" s="872" t="s">
        <v>1903</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1511</v>
      </c>
      <c r="E595" s="971"/>
      <c r="F595" s="971"/>
      <c r="G595" s="971"/>
      <c r="H595" s="1949" t="s">
        <v>697</v>
      </c>
      <c r="I595" s="1949"/>
      <c r="J595" s="971"/>
      <c r="K595" s="971"/>
      <c r="L595" s="971"/>
      <c r="N595" s="22"/>
      <c r="O595" s="22"/>
      <c r="P595" s="22"/>
      <c r="Q595" s="1195" t="s">
        <v>2539</v>
      </c>
      <c r="R595" s="2045"/>
      <c r="S595" s="2045"/>
      <c r="T595" s="2045"/>
      <c r="U595" s="2045"/>
      <c r="V595" s="2045"/>
      <c r="W595" s="2045"/>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46" t="str">
        <f>IF(AND(H595="(i)",NOT(AP571)),AO588,IF(AND(H595="(iv)",OR(R595=AO584,R595=AO583),NOT(AP572)),AO589,""))</f>
        <v/>
      </c>
      <c r="Z596" s="2046"/>
      <c r="AA596" s="2046"/>
      <c r="AB596" s="2046"/>
      <c r="AC596" s="2046"/>
      <c r="AD596" s="2046"/>
      <c r="AE596" s="2046"/>
      <c r="AF596" s="2046"/>
      <c r="AG596" s="2046"/>
      <c r="AH596" s="2046"/>
      <c r="AI596" s="2046"/>
      <c r="AJ596" s="2046"/>
      <c r="AK596" s="2046"/>
      <c r="AL596" s="2046"/>
      <c r="AM596" s="2047"/>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46"/>
      <c r="Z597" s="2046"/>
      <c r="AA597" s="2046"/>
      <c r="AB597" s="2046"/>
      <c r="AC597" s="2046"/>
      <c r="AD597" s="2046"/>
      <c r="AE597" s="2046"/>
      <c r="AF597" s="2046"/>
      <c r="AG597" s="2046"/>
      <c r="AH597" s="2046"/>
      <c r="AI597" s="2046"/>
      <c r="AJ597" s="2046"/>
      <c r="AK597" s="2046"/>
      <c r="AL597" s="2046"/>
      <c r="AM597" s="2047"/>
      <c r="AN597" s="631"/>
      <c r="AO597" s="645"/>
      <c r="AT597" s="645"/>
    </row>
    <row r="598" spans="2:47" s="584" customFormat="1" ht="12.75" customHeight="1">
      <c r="B598" s="570"/>
      <c r="C598" s="968"/>
      <c r="D598" s="570" t="s">
        <v>1905</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1906</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1907</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1908</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1511</v>
      </c>
      <c r="F603" s="971"/>
      <c r="G603" s="971"/>
      <c r="I603" s="2043" t="s">
        <v>600</v>
      </c>
      <c r="J603" s="2043"/>
      <c r="K603" s="2043"/>
      <c r="L603" s="2043"/>
      <c r="M603" s="2043"/>
      <c r="N603" s="2043"/>
      <c r="O603" s="2043"/>
      <c r="P603" s="2043"/>
      <c r="Q603" s="2043"/>
      <c r="R603" s="2043"/>
      <c r="S603" s="2043"/>
      <c r="T603" s="2043"/>
      <c r="U603" s="2043"/>
      <c r="V603" s="2043"/>
      <c r="W603" s="2043"/>
      <c r="X603" s="2043"/>
      <c r="Y603" s="2043"/>
      <c r="Z603" s="2043"/>
      <c r="AA603" s="2043"/>
      <c r="AB603" s="2043"/>
      <c r="AC603" s="2043"/>
      <c r="AD603" s="2043"/>
      <c r="AE603" s="2043"/>
      <c r="AF603" s="570"/>
      <c r="AG603" s="570"/>
      <c r="AH603" s="570"/>
      <c r="AI603" s="570"/>
      <c r="AJ603" s="570"/>
      <c r="AK603" s="570"/>
      <c r="AL603" s="570"/>
      <c r="AN603" s="631"/>
      <c r="AO603" s="584" t="s">
        <v>1512</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1513</v>
      </c>
      <c r="AP604" s="584">
        <v>2</v>
      </c>
    </row>
    <row r="605" spans="2:47" s="584" customFormat="1" ht="12.75" customHeight="1">
      <c r="B605" s="2041" t="s">
        <v>600</v>
      </c>
      <c r="C605" s="2041"/>
      <c r="D605" s="676"/>
      <c r="E605" s="1925" t="s">
        <v>1514</v>
      </c>
      <c r="F605" s="1925"/>
      <c r="G605" s="1925"/>
      <c r="H605" s="1925"/>
      <c r="I605" s="1925"/>
      <c r="J605" s="1925"/>
      <c r="K605" s="1925"/>
      <c r="L605" s="1925"/>
      <c r="M605" s="1925"/>
      <c r="N605" s="1925"/>
      <c r="O605" s="1925"/>
      <c r="P605" s="1925"/>
      <c r="Q605" s="1925"/>
      <c r="R605" s="1925"/>
      <c r="S605" s="1925"/>
      <c r="T605" s="1925"/>
      <c r="U605" s="1925"/>
      <c r="V605" s="1925"/>
      <c r="W605" s="1925"/>
      <c r="X605" s="1925"/>
      <c r="Y605" s="1925"/>
      <c r="Z605" s="1925"/>
      <c r="AA605" s="1925"/>
      <c r="AB605" s="1925"/>
      <c r="AC605" s="1925"/>
      <c r="AD605" s="1925"/>
      <c r="AE605" s="1925"/>
      <c r="AF605" s="1925"/>
      <c r="AG605" s="1925"/>
      <c r="AH605" s="676"/>
      <c r="AI605" s="676"/>
      <c r="AJ605" s="676"/>
      <c r="AK605" s="676"/>
      <c r="AL605" s="676"/>
      <c r="AN605" s="631"/>
    </row>
    <row r="606" spans="2:47" s="584" customFormat="1" ht="12.75" customHeight="1">
      <c r="B606" s="570"/>
      <c r="C606" s="968"/>
      <c r="D606" s="676"/>
      <c r="E606" s="1925"/>
      <c r="F606" s="1925"/>
      <c r="G606" s="1925"/>
      <c r="H606" s="1925"/>
      <c r="I606" s="1925"/>
      <c r="J606" s="1925"/>
      <c r="K606" s="1925"/>
      <c r="L606" s="1925"/>
      <c r="M606" s="1925"/>
      <c r="N606" s="1925"/>
      <c r="O606" s="1925"/>
      <c r="P606" s="1925"/>
      <c r="Q606" s="1925"/>
      <c r="R606" s="1925"/>
      <c r="S606" s="1925"/>
      <c r="T606" s="1925"/>
      <c r="U606" s="1925"/>
      <c r="V606" s="1925"/>
      <c r="W606" s="1925"/>
      <c r="X606" s="1925"/>
      <c r="Y606" s="1925"/>
      <c r="Z606" s="1925"/>
      <c r="AA606" s="1925"/>
      <c r="AB606" s="1925"/>
      <c r="AC606" s="1925"/>
      <c r="AD606" s="1925"/>
      <c r="AE606" s="1925"/>
      <c r="AF606" s="1925"/>
      <c r="AG606" s="1925"/>
      <c r="AH606" s="676"/>
      <c r="AI606" s="676"/>
      <c r="AJ606" s="676"/>
      <c r="AK606" s="676"/>
      <c r="AL606" s="676"/>
      <c r="AN606" s="631"/>
    </row>
    <row r="607" spans="2:47" s="584" customFormat="1" ht="12.75" customHeight="1">
      <c r="B607" s="570"/>
      <c r="C607" s="968"/>
      <c r="D607" s="676"/>
      <c r="E607" s="1925"/>
      <c r="F607" s="1925"/>
      <c r="G607" s="1925"/>
      <c r="H607" s="1925"/>
      <c r="I607" s="1925"/>
      <c r="J607" s="1925"/>
      <c r="K607" s="1925"/>
      <c r="L607" s="1925"/>
      <c r="M607" s="1925"/>
      <c r="N607" s="1925"/>
      <c r="O607" s="1925"/>
      <c r="P607" s="1925"/>
      <c r="Q607" s="1925"/>
      <c r="R607" s="1925"/>
      <c r="S607" s="1925"/>
      <c r="T607" s="1925"/>
      <c r="U607" s="1925"/>
      <c r="V607" s="1925"/>
      <c r="W607" s="1925"/>
      <c r="X607" s="1925"/>
      <c r="Y607" s="1925"/>
      <c r="Z607" s="1925"/>
      <c r="AA607" s="1925"/>
      <c r="AB607" s="1925"/>
      <c r="AC607" s="1925"/>
      <c r="AD607" s="1925"/>
      <c r="AE607" s="1925"/>
      <c r="AF607" s="1925"/>
      <c r="AG607" s="1925"/>
      <c r="AH607" s="676"/>
      <c r="AI607" s="676"/>
      <c r="AJ607" s="676"/>
      <c r="AK607" s="676"/>
      <c r="AL607" s="676"/>
      <c r="AN607" s="631"/>
    </row>
    <row r="608" spans="2:47" s="584" customFormat="1" ht="12.75" customHeight="1">
      <c r="B608" s="570"/>
      <c r="C608" s="968"/>
      <c r="D608" s="676"/>
      <c r="E608" s="1925"/>
      <c r="F608" s="1925"/>
      <c r="G608" s="1925"/>
      <c r="H608" s="1925"/>
      <c r="I608" s="1925"/>
      <c r="J608" s="1925"/>
      <c r="K608" s="1925"/>
      <c r="L608" s="1925"/>
      <c r="M608" s="1925"/>
      <c r="N608" s="1925"/>
      <c r="O608" s="1925"/>
      <c r="P608" s="1925"/>
      <c r="Q608" s="1925"/>
      <c r="R608" s="1925"/>
      <c r="S608" s="1925"/>
      <c r="T608" s="1925"/>
      <c r="U608" s="1925"/>
      <c r="V608" s="1925"/>
      <c r="W608" s="1925"/>
      <c r="X608" s="1925"/>
      <c r="Y608" s="1925"/>
      <c r="Z608" s="1925"/>
      <c r="AA608" s="1925"/>
      <c r="AB608" s="1925"/>
      <c r="AC608" s="1925"/>
      <c r="AD608" s="1925"/>
      <c r="AE608" s="1925"/>
      <c r="AF608" s="1925"/>
      <c r="AG608" s="1925"/>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1515</v>
      </c>
      <c r="AJ610" s="1932">
        <f>VLOOKUP($H$595,$AO$575:$AP$580,2,FALSE)+IF(R595=AO583,0,VLOOKUP($I$603,$AO$602:$AP$604,2,FALSE))</f>
        <v>7</v>
      </c>
      <c r="AK610" s="1934"/>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1516</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42" t="s">
        <v>1884</v>
      </c>
      <c r="F614" s="2042"/>
      <c r="G614" s="2042"/>
      <c r="H614" s="2042"/>
      <c r="I614" s="2042"/>
      <c r="J614" s="2042"/>
      <c r="K614" s="2042"/>
      <c r="L614" s="2042"/>
      <c r="M614" s="2042"/>
      <c r="N614" s="2042"/>
      <c r="O614" s="2042"/>
      <c r="P614" s="2042"/>
      <c r="Q614" s="2042"/>
      <c r="R614" s="2042"/>
      <c r="S614" s="2042"/>
      <c r="T614" s="2042"/>
      <c r="U614" s="2042"/>
      <c r="V614" s="2042"/>
      <c r="W614" s="2042"/>
      <c r="X614" s="2042"/>
      <c r="Y614" s="2042"/>
      <c r="Z614" s="2042"/>
      <c r="AA614" s="2042"/>
      <c r="AB614" s="2042"/>
      <c r="AC614" s="2042"/>
      <c r="AD614" s="2042"/>
      <c r="AE614" s="573"/>
      <c r="AF614" s="2005" t="s">
        <v>1463</v>
      </c>
      <c r="AG614" s="2005"/>
      <c r="AH614" s="2005"/>
      <c r="AI614" s="2005"/>
      <c r="AJ614" s="2005"/>
      <c r="AK614" s="2005"/>
      <c r="AL614" s="2005"/>
      <c r="AM614" s="584"/>
      <c r="AN614" s="712"/>
    </row>
    <row r="615" spans="1:42" s="584" customFormat="1" ht="12.75" customHeight="1">
      <c r="A615" s="713"/>
      <c r="B615" s="570"/>
      <c r="C615" s="968"/>
      <c r="D615" s="697"/>
      <c r="E615" s="2042"/>
      <c r="F615" s="2042"/>
      <c r="G615" s="2042"/>
      <c r="H615" s="2042"/>
      <c r="I615" s="2042"/>
      <c r="J615" s="2042"/>
      <c r="K615" s="2042"/>
      <c r="L615" s="2042"/>
      <c r="M615" s="2042"/>
      <c r="N615" s="2042"/>
      <c r="O615" s="2042"/>
      <c r="P615" s="2042"/>
      <c r="Q615" s="2042"/>
      <c r="R615" s="2042"/>
      <c r="S615" s="2042"/>
      <c r="T615" s="2042"/>
      <c r="U615" s="2042"/>
      <c r="V615" s="2042"/>
      <c r="W615" s="2042"/>
      <c r="X615" s="2042"/>
      <c r="Y615" s="2042"/>
      <c r="Z615" s="2042"/>
      <c r="AA615" s="2042"/>
      <c r="AB615" s="2042"/>
      <c r="AC615" s="2042"/>
      <c r="AD615" s="2042"/>
      <c r="AE615" s="570"/>
      <c r="AF615" s="570"/>
      <c r="AG615" s="570"/>
      <c r="AH615" s="570"/>
      <c r="AI615" s="570"/>
      <c r="AJ615" s="570"/>
      <c r="AK615" s="570"/>
      <c r="AL615" s="570"/>
      <c r="AN615" s="631"/>
    </row>
    <row r="616" spans="1:42" s="584" customFormat="1" ht="12.75" customHeight="1">
      <c r="B616" s="570"/>
      <c r="C616" s="966"/>
      <c r="D616" s="697"/>
      <c r="E616" s="2042"/>
      <c r="F616" s="2042"/>
      <c r="G616" s="2042"/>
      <c r="H616" s="2042"/>
      <c r="I616" s="2042"/>
      <c r="J616" s="2042"/>
      <c r="K616" s="2042"/>
      <c r="L616" s="2042"/>
      <c r="M616" s="2042"/>
      <c r="N616" s="2042"/>
      <c r="O616" s="2042"/>
      <c r="P616" s="2042"/>
      <c r="Q616" s="2042"/>
      <c r="R616" s="2042"/>
      <c r="S616" s="2042"/>
      <c r="T616" s="2042"/>
      <c r="U616" s="2042"/>
      <c r="V616" s="2042"/>
      <c r="W616" s="2042"/>
      <c r="X616" s="2042"/>
      <c r="Y616" s="2042"/>
      <c r="Z616" s="2042"/>
      <c r="AA616" s="2042"/>
      <c r="AB616" s="2042"/>
      <c r="AC616" s="2042"/>
      <c r="AD616" s="2042"/>
      <c r="AE616" s="570"/>
      <c r="AF616" s="570"/>
      <c r="AG616" s="570"/>
      <c r="AH616" s="570"/>
      <c r="AI616" s="570"/>
      <c r="AJ616" s="570"/>
      <c r="AK616" s="570"/>
      <c r="AL616" s="570"/>
      <c r="AN616" s="631"/>
    </row>
    <row r="617" spans="1:42" s="584" customFormat="1" ht="12.75" customHeight="1">
      <c r="B617" s="570"/>
      <c r="C617" s="966"/>
      <c r="D617" s="697"/>
      <c r="E617" s="2042"/>
      <c r="F617" s="2042"/>
      <c r="G617" s="2042"/>
      <c r="H617" s="2042"/>
      <c r="I617" s="2042"/>
      <c r="J617" s="2042"/>
      <c r="K617" s="2042"/>
      <c r="L617" s="2042"/>
      <c r="M617" s="2042"/>
      <c r="N617" s="2042"/>
      <c r="O617" s="2042"/>
      <c r="P617" s="2042"/>
      <c r="Q617" s="2042"/>
      <c r="R617" s="2042"/>
      <c r="S617" s="2042"/>
      <c r="T617" s="2042"/>
      <c r="U617" s="2042"/>
      <c r="V617" s="2042"/>
      <c r="W617" s="2042"/>
      <c r="X617" s="2042"/>
      <c r="Y617" s="2042"/>
      <c r="Z617" s="2042"/>
      <c r="AA617" s="2042"/>
      <c r="AB617" s="2042"/>
      <c r="AC617" s="2042"/>
      <c r="AD617" s="2042"/>
      <c r="AE617" s="570"/>
      <c r="AF617" s="570"/>
      <c r="AG617" s="570"/>
      <c r="AH617" s="570"/>
      <c r="AI617" s="570"/>
      <c r="AJ617" s="570"/>
      <c r="AK617" s="570"/>
      <c r="AL617" s="570"/>
      <c r="AN617" s="631"/>
    </row>
    <row r="618" spans="1:42" s="584" customFormat="1" ht="12.75" customHeight="1">
      <c r="B618" s="570"/>
      <c r="C618" s="966"/>
      <c r="D618" s="697"/>
      <c r="E618" s="2042"/>
      <c r="F618" s="2042"/>
      <c r="G618" s="2042"/>
      <c r="H618" s="2042"/>
      <c r="I618" s="2042"/>
      <c r="J618" s="2042"/>
      <c r="K618" s="2042"/>
      <c r="L618" s="2042"/>
      <c r="M618" s="2042"/>
      <c r="N618" s="2042"/>
      <c r="O618" s="2042"/>
      <c r="P618" s="2042"/>
      <c r="Q618" s="2042"/>
      <c r="R618" s="2042"/>
      <c r="S618" s="2042"/>
      <c r="T618" s="2042"/>
      <c r="U618" s="2042"/>
      <c r="V618" s="2042"/>
      <c r="W618" s="2042"/>
      <c r="X618" s="2042"/>
      <c r="Y618" s="2042"/>
      <c r="Z618" s="2042"/>
      <c r="AA618" s="2042"/>
      <c r="AB618" s="2042"/>
      <c r="AC618" s="2042"/>
      <c r="AD618" s="2042"/>
      <c r="AE618" s="570"/>
      <c r="AF618" s="570"/>
      <c r="AG618" s="570"/>
      <c r="AH618" s="570"/>
      <c r="AI618" s="570"/>
      <c r="AJ618" s="570"/>
      <c r="AK618" s="570"/>
      <c r="AL618" s="570"/>
      <c r="AN618" s="631"/>
    </row>
    <row r="619" spans="1:42" s="584" customFormat="1" ht="12.75" customHeight="1">
      <c r="B619" s="570"/>
      <c r="C619" s="966"/>
      <c r="D619" s="697"/>
      <c r="E619" s="2042"/>
      <c r="F619" s="2042"/>
      <c r="G619" s="2042"/>
      <c r="H619" s="2042"/>
      <c r="I619" s="2042"/>
      <c r="J619" s="2042"/>
      <c r="K619" s="2042"/>
      <c r="L619" s="2042"/>
      <c r="M619" s="2042"/>
      <c r="N619" s="2042"/>
      <c r="O619" s="2042"/>
      <c r="P619" s="2042"/>
      <c r="Q619" s="2042"/>
      <c r="R619" s="2042"/>
      <c r="S619" s="2042"/>
      <c r="T619" s="2042"/>
      <c r="U619" s="2042"/>
      <c r="V619" s="2042"/>
      <c r="W619" s="2042"/>
      <c r="X619" s="2042"/>
      <c r="Y619" s="2042"/>
      <c r="Z619" s="2042"/>
      <c r="AA619" s="2042"/>
      <c r="AB619" s="2042"/>
      <c r="AC619" s="2042"/>
      <c r="AD619" s="2042"/>
      <c r="AE619" s="570"/>
      <c r="AF619" s="570"/>
      <c r="AG619" s="570"/>
      <c r="AH619" s="570"/>
      <c r="AI619" s="570"/>
      <c r="AJ619" s="570"/>
      <c r="AK619" s="570"/>
      <c r="AL619" s="570"/>
      <c r="AN619" s="631"/>
    </row>
    <row r="620" spans="1:42" s="584" customFormat="1" ht="12.75" customHeight="1">
      <c r="A620" s="671"/>
      <c r="B620" s="650"/>
      <c r="C620" s="975"/>
      <c r="D620" s="697"/>
      <c r="E620" s="2042"/>
      <c r="F620" s="2042"/>
      <c r="G620" s="2042"/>
      <c r="H620" s="2042"/>
      <c r="I620" s="2042"/>
      <c r="J620" s="2042"/>
      <c r="K620" s="2042"/>
      <c r="L620" s="2042"/>
      <c r="M620" s="2042"/>
      <c r="N620" s="2042"/>
      <c r="O620" s="2042"/>
      <c r="P620" s="2042"/>
      <c r="Q620" s="2042"/>
      <c r="R620" s="2042"/>
      <c r="S620" s="2042"/>
      <c r="T620" s="2042"/>
      <c r="U620" s="2042"/>
      <c r="V620" s="2042"/>
      <c r="W620" s="2042"/>
      <c r="X620" s="2042"/>
      <c r="Y620" s="2042"/>
      <c r="Z620" s="2042"/>
      <c r="AA620" s="2042"/>
      <c r="AB620" s="2042"/>
      <c r="AC620" s="2042"/>
      <c r="AD620" s="2042"/>
      <c r="AE620" s="650"/>
      <c r="AF620" s="650"/>
      <c r="AG620" s="650"/>
      <c r="AH620" s="650"/>
      <c r="AI620" s="650"/>
      <c r="AJ620" s="650"/>
      <c r="AK620" s="570"/>
      <c r="AL620" s="570"/>
      <c r="AN620" s="631"/>
    </row>
    <row r="621" spans="1:42" s="584" customFormat="1" ht="12.75" customHeight="1">
      <c r="B621" s="650"/>
      <c r="C621" s="975"/>
      <c r="D621" s="697"/>
      <c r="E621" s="2042"/>
      <c r="F621" s="2042"/>
      <c r="G621" s="2042"/>
      <c r="H621" s="2042"/>
      <c r="I621" s="2042"/>
      <c r="J621" s="2042"/>
      <c r="K621" s="2042"/>
      <c r="L621" s="2042"/>
      <c r="M621" s="2042"/>
      <c r="N621" s="2042"/>
      <c r="O621" s="2042"/>
      <c r="P621" s="2042"/>
      <c r="Q621" s="2042"/>
      <c r="R621" s="2042"/>
      <c r="S621" s="2042"/>
      <c r="T621" s="2042"/>
      <c r="U621" s="2042"/>
      <c r="V621" s="2042"/>
      <c r="W621" s="2042"/>
      <c r="X621" s="2042"/>
      <c r="Y621" s="2042"/>
      <c r="Z621" s="2042"/>
      <c r="AA621" s="2042"/>
      <c r="AB621" s="2042"/>
      <c r="AC621" s="2042"/>
      <c r="AD621" s="2042"/>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1517</v>
      </c>
      <c r="F623" s="976"/>
      <c r="G623" s="976"/>
      <c r="H623" s="976"/>
      <c r="I623" s="976"/>
      <c r="J623" s="976"/>
      <c r="K623" s="976"/>
      <c r="L623" s="976"/>
      <c r="M623" s="976"/>
      <c r="N623" s="976"/>
      <c r="O623" s="976"/>
      <c r="P623" s="976"/>
      <c r="Q623" s="976"/>
      <c r="R623" s="976"/>
      <c r="U623" s="976"/>
      <c r="V623" s="976"/>
      <c r="W623" s="976"/>
      <c r="X623" s="2041" t="s">
        <v>600</v>
      </c>
      <c r="Y623" s="2041"/>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1518</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2005" t="s">
        <v>1519</v>
      </c>
      <c r="AG625" s="2005"/>
      <c r="AH625" s="2005"/>
      <c r="AI625" s="2005"/>
      <c r="AJ625" s="2005"/>
      <c r="AK625" s="2005"/>
      <c r="AL625" s="2005"/>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1508</v>
      </c>
      <c r="AP626" s="714">
        <v>4</v>
      </c>
    </row>
    <row r="627" spans="1:42" s="584" customFormat="1" ht="12.75" customHeight="1">
      <c r="B627" s="570"/>
      <c r="C627" s="966"/>
      <c r="D627" s="570" t="s">
        <v>1511</v>
      </c>
      <c r="E627" s="971"/>
      <c r="F627" s="971"/>
      <c r="G627" s="971"/>
      <c r="H627" s="1949" t="s">
        <v>697</v>
      </c>
      <c r="I627" s="1949"/>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1509</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1520</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1521</v>
      </c>
      <c r="AJ629" s="1932">
        <f>VLOOKUP($H$627,$AO$594:$AP$596,2,FALSE)</f>
        <v>3</v>
      </c>
      <c r="AK629" s="1934"/>
      <c r="AL629" s="629"/>
      <c r="AN629" s="631"/>
      <c r="AO629" s="645" t="s">
        <v>1522</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1523</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25" t="s">
        <v>2416</v>
      </c>
      <c r="F633" s="1925"/>
      <c r="G633" s="1925"/>
      <c r="H633" s="1925"/>
      <c r="I633" s="1925"/>
      <c r="J633" s="1925"/>
      <c r="K633" s="1925"/>
      <c r="L633" s="1925"/>
      <c r="M633" s="1925"/>
      <c r="N633" s="1925"/>
      <c r="O633" s="1925"/>
      <c r="P633" s="1925"/>
      <c r="Q633" s="1925"/>
      <c r="R633" s="1925"/>
      <c r="S633" s="1925"/>
      <c r="T633" s="1925"/>
      <c r="U633" s="1925"/>
      <c r="V633" s="1925"/>
      <c r="W633" s="1925"/>
      <c r="X633" s="1925"/>
      <c r="Y633" s="1925"/>
      <c r="Z633" s="1925"/>
      <c r="AA633" s="1925"/>
      <c r="AB633" s="1925"/>
      <c r="AC633" s="1925"/>
      <c r="AD633" s="1925"/>
      <c r="AE633" s="570"/>
      <c r="AF633" s="2005" t="s">
        <v>1463</v>
      </c>
      <c r="AG633" s="2005"/>
      <c r="AH633" s="2005"/>
      <c r="AI633" s="2005"/>
      <c r="AJ633" s="2005"/>
      <c r="AK633" s="2005"/>
      <c r="AL633" s="2005"/>
      <c r="AN633" s="631"/>
    </row>
    <row r="634" spans="1:42" s="584" customFormat="1" ht="12.75" customHeight="1">
      <c r="B634" s="570"/>
      <c r="C634" s="570"/>
      <c r="D634" s="697"/>
      <c r="E634" s="1925"/>
      <c r="F634" s="1925"/>
      <c r="G634" s="1925"/>
      <c r="H634" s="1925"/>
      <c r="I634" s="1925"/>
      <c r="J634" s="1925"/>
      <c r="K634" s="1925"/>
      <c r="L634" s="1925"/>
      <c r="M634" s="1925"/>
      <c r="N634" s="1925"/>
      <c r="O634" s="1925"/>
      <c r="P634" s="1925"/>
      <c r="Q634" s="1925"/>
      <c r="R634" s="1925"/>
      <c r="S634" s="1925"/>
      <c r="T634" s="1925"/>
      <c r="U634" s="1925"/>
      <c r="V634" s="1925"/>
      <c r="W634" s="1925"/>
      <c r="X634" s="1925"/>
      <c r="Y634" s="1925"/>
      <c r="Z634" s="1925"/>
      <c r="AA634" s="1925"/>
      <c r="AB634" s="1925"/>
      <c r="AC634" s="1925"/>
      <c r="AD634" s="1925"/>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1524</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2005" t="s">
        <v>1519</v>
      </c>
      <c r="AG636" s="2005"/>
      <c r="AH636" s="2005"/>
      <c r="AI636" s="2005"/>
      <c r="AJ636" s="2005"/>
      <c r="AK636" s="2005"/>
      <c r="AL636" s="2005"/>
      <c r="AN636" s="631"/>
    </row>
    <row r="637" spans="1:42" s="584" customFormat="1" ht="12.75" customHeight="1">
      <c r="B637" s="570"/>
      <c r="C637" s="966"/>
      <c r="D637" s="697"/>
      <c r="E637" s="650" t="s">
        <v>1525</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1511</v>
      </c>
      <c r="E639" s="971"/>
      <c r="F639" s="971"/>
      <c r="G639" s="971"/>
      <c r="H639" s="1949" t="s">
        <v>518</v>
      </c>
      <c r="I639" s="1949"/>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1526</v>
      </c>
      <c r="AJ641" s="1932">
        <f>VLOOKUP(H639,AT594:AU596,2,FALSE)</f>
        <v>2</v>
      </c>
      <c r="AK641" s="1934"/>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1527</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1528</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25" t="s">
        <v>1529</v>
      </c>
      <c r="F646" s="1925"/>
      <c r="G646" s="1925"/>
      <c r="H646" s="1925"/>
      <c r="I646" s="1925"/>
      <c r="J646" s="1925"/>
      <c r="K646" s="1925"/>
      <c r="L646" s="1925"/>
      <c r="M646" s="1925"/>
      <c r="N646" s="1925"/>
      <c r="O646" s="1925"/>
      <c r="P646" s="1925"/>
      <c r="Q646" s="1925"/>
      <c r="R646" s="1925"/>
      <c r="S646" s="1925"/>
      <c r="T646" s="1925"/>
      <c r="U646" s="1925"/>
      <c r="V646" s="1925"/>
      <c r="W646" s="1925"/>
      <c r="X646" s="1925"/>
      <c r="Y646" s="1925"/>
      <c r="Z646" s="1925"/>
      <c r="AA646" s="1925"/>
      <c r="AB646" s="1925"/>
      <c r="AC646" s="1925"/>
      <c r="AD646" s="570"/>
      <c r="AE646" s="570"/>
      <c r="AF646" s="2005" t="s">
        <v>1489</v>
      </c>
      <c r="AG646" s="2005"/>
      <c r="AH646" s="2005"/>
      <c r="AI646" s="2005"/>
      <c r="AJ646" s="2005"/>
      <c r="AK646" s="2005"/>
      <c r="AL646" s="2005"/>
      <c r="AN646" s="631"/>
    </row>
    <row r="647" spans="1:42" s="584" customFormat="1" ht="12.75" customHeight="1">
      <c r="B647" s="570"/>
      <c r="C647" s="573"/>
      <c r="D647" s="570"/>
      <c r="E647" s="1925"/>
      <c r="F647" s="1925"/>
      <c r="G647" s="1925"/>
      <c r="H647" s="1925"/>
      <c r="I647" s="1925"/>
      <c r="J647" s="1925"/>
      <c r="K647" s="1925"/>
      <c r="L647" s="1925"/>
      <c r="M647" s="1925"/>
      <c r="N647" s="1925"/>
      <c r="O647" s="1925"/>
      <c r="P647" s="1925"/>
      <c r="Q647" s="1925"/>
      <c r="R647" s="1925"/>
      <c r="S647" s="1925"/>
      <c r="T647" s="1925"/>
      <c r="U647" s="1925"/>
      <c r="V647" s="1925"/>
      <c r="W647" s="1925"/>
      <c r="X647" s="1925"/>
      <c r="Y647" s="1925"/>
      <c r="Z647" s="1925"/>
      <c r="AA647" s="1925"/>
      <c r="AB647" s="1925"/>
      <c r="AC647" s="1925"/>
      <c r="AD647" s="570"/>
      <c r="AE647" s="570"/>
      <c r="AF647" s="570"/>
      <c r="AG647" s="570"/>
      <c r="AH647" s="570"/>
      <c r="AI647" s="570"/>
      <c r="AJ647" s="570"/>
      <c r="AK647" s="570"/>
      <c r="AL647" s="570"/>
      <c r="AN647" s="631"/>
    </row>
    <row r="648" spans="1:42" s="584" customFormat="1" ht="12.75" customHeight="1">
      <c r="B648" s="570"/>
      <c r="C648" s="573"/>
      <c r="D648" s="697"/>
      <c r="E648" s="1925"/>
      <c r="F648" s="1925"/>
      <c r="G648" s="1925"/>
      <c r="H648" s="1925"/>
      <c r="I648" s="1925"/>
      <c r="J648" s="1925"/>
      <c r="K648" s="1925"/>
      <c r="L648" s="1925"/>
      <c r="M648" s="1925"/>
      <c r="N648" s="1925"/>
      <c r="O648" s="1925"/>
      <c r="P648" s="1925"/>
      <c r="Q648" s="1925"/>
      <c r="R648" s="1925"/>
      <c r="S648" s="1925"/>
      <c r="T648" s="1925"/>
      <c r="U648" s="1925"/>
      <c r="V648" s="1925"/>
      <c r="W648" s="1925"/>
      <c r="X648" s="1925"/>
      <c r="Y648" s="1925"/>
      <c r="Z648" s="1925"/>
      <c r="AA648" s="1925"/>
      <c r="AB648" s="1925"/>
      <c r="AC648" s="1925"/>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25" t="s">
        <v>1530</v>
      </c>
      <c r="F650" s="1925"/>
      <c r="G650" s="1925"/>
      <c r="H650" s="1925"/>
      <c r="I650" s="1925"/>
      <c r="J650" s="1925"/>
      <c r="K650" s="1925"/>
      <c r="L650" s="1925"/>
      <c r="M650" s="1925"/>
      <c r="N650" s="1925"/>
      <c r="O650" s="1925"/>
      <c r="P650" s="1925"/>
      <c r="Q650" s="1925"/>
      <c r="R650" s="1925"/>
      <c r="S650" s="1925"/>
      <c r="T650" s="1925"/>
      <c r="U650" s="1925"/>
      <c r="V650" s="1925"/>
      <c r="W650" s="1925"/>
      <c r="X650" s="1925"/>
      <c r="Y650" s="1925"/>
      <c r="Z650" s="1925"/>
      <c r="AA650" s="1925"/>
      <c r="AB650" s="1925"/>
      <c r="AC650" s="1925"/>
      <c r="AD650" s="570"/>
      <c r="AE650" s="570"/>
      <c r="AF650" s="2005" t="s">
        <v>1510</v>
      </c>
      <c r="AG650" s="2005"/>
      <c r="AH650" s="2005"/>
      <c r="AI650" s="2005"/>
      <c r="AJ650" s="2005"/>
      <c r="AK650" s="2005"/>
      <c r="AL650" s="2005"/>
      <c r="AN650" s="631"/>
    </row>
    <row r="651" spans="1:42" s="584" customFormat="1" ht="12.75" customHeight="1">
      <c r="B651" s="570"/>
      <c r="C651" s="573"/>
      <c r="D651" s="570"/>
      <c r="E651" s="1925"/>
      <c r="F651" s="1925"/>
      <c r="G651" s="1925"/>
      <c r="H651" s="1925"/>
      <c r="I651" s="1925"/>
      <c r="J651" s="1925"/>
      <c r="K651" s="1925"/>
      <c r="L651" s="1925"/>
      <c r="M651" s="1925"/>
      <c r="N651" s="1925"/>
      <c r="O651" s="1925"/>
      <c r="P651" s="1925"/>
      <c r="Q651" s="1925"/>
      <c r="R651" s="1925"/>
      <c r="S651" s="1925"/>
      <c r="T651" s="1925"/>
      <c r="U651" s="1925"/>
      <c r="V651" s="1925"/>
      <c r="W651" s="1925"/>
      <c r="X651" s="1925"/>
      <c r="Y651" s="1925"/>
      <c r="Z651" s="1925"/>
      <c r="AA651" s="1925"/>
      <c r="AB651" s="1925"/>
      <c r="AC651" s="1925"/>
      <c r="AD651" s="570"/>
      <c r="AE651" s="570"/>
      <c r="AF651" s="570"/>
      <c r="AG651" s="570"/>
      <c r="AH651" s="570"/>
      <c r="AI651" s="570"/>
      <c r="AJ651" s="570"/>
      <c r="AK651" s="570"/>
      <c r="AL651" s="570"/>
      <c r="AN651" s="631"/>
    </row>
    <row r="652" spans="1:42" s="584" customFormat="1" ht="15" customHeight="1">
      <c r="B652" s="570"/>
      <c r="C652" s="573"/>
      <c r="D652" s="697"/>
      <c r="E652" s="1925"/>
      <c r="F652" s="1925"/>
      <c r="G652" s="1925"/>
      <c r="H652" s="1925"/>
      <c r="I652" s="1925"/>
      <c r="J652" s="1925"/>
      <c r="K652" s="1925"/>
      <c r="L652" s="1925"/>
      <c r="M652" s="1925"/>
      <c r="N652" s="1925"/>
      <c r="O652" s="1925"/>
      <c r="P652" s="1925"/>
      <c r="Q652" s="1925"/>
      <c r="R652" s="1925"/>
      <c r="S652" s="1925"/>
      <c r="T652" s="1925"/>
      <c r="U652" s="1925"/>
      <c r="V652" s="1925"/>
      <c r="W652" s="1925"/>
      <c r="X652" s="1925"/>
      <c r="Y652" s="1925"/>
      <c r="Z652" s="1925"/>
      <c r="AA652" s="1925"/>
      <c r="AB652" s="1925"/>
      <c r="AC652" s="1925"/>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25" t="s">
        <v>1531</v>
      </c>
      <c r="F654" s="1925"/>
      <c r="G654" s="1925"/>
      <c r="H654" s="1925"/>
      <c r="I654" s="1925"/>
      <c r="J654" s="1925"/>
      <c r="K654" s="1925"/>
      <c r="L654" s="1925"/>
      <c r="M654" s="1925"/>
      <c r="N654" s="1925"/>
      <c r="O654" s="1925"/>
      <c r="P654" s="1925"/>
      <c r="Q654" s="1925"/>
      <c r="R654" s="1925"/>
      <c r="S654" s="1925"/>
      <c r="T654" s="1925"/>
      <c r="U654" s="1925"/>
      <c r="V654" s="1925"/>
      <c r="W654" s="1925"/>
      <c r="X654" s="1925"/>
      <c r="Y654" s="1925"/>
      <c r="Z654" s="1925"/>
      <c r="AA654" s="1925"/>
      <c r="AB654" s="1925"/>
      <c r="AC654" s="1925"/>
      <c r="AD654" s="570"/>
      <c r="AE654" s="570"/>
      <c r="AF654" s="2005" t="s">
        <v>1463</v>
      </c>
      <c r="AG654" s="2005"/>
      <c r="AH654" s="2005"/>
      <c r="AI654" s="2005"/>
      <c r="AJ654" s="2005"/>
      <c r="AK654" s="2005"/>
      <c r="AL654" s="2005"/>
      <c r="AN654" s="631"/>
    </row>
    <row r="655" spans="1:42" s="584" customFormat="1" ht="12.75" customHeight="1">
      <c r="B655" s="570"/>
      <c r="C655" s="966"/>
      <c r="D655" s="570"/>
      <c r="E655" s="1925"/>
      <c r="F655" s="1925"/>
      <c r="G655" s="1925"/>
      <c r="H655" s="1925"/>
      <c r="I655" s="1925"/>
      <c r="J655" s="1925"/>
      <c r="K655" s="1925"/>
      <c r="L655" s="1925"/>
      <c r="M655" s="1925"/>
      <c r="N655" s="1925"/>
      <c r="O655" s="1925"/>
      <c r="P655" s="1925"/>
      <c r="Q655" s="1925"/>
      <c r="R655" s="1925"/>
      <c r="S655" s="1925"/>
      <c r="T655" s="1925"/>
      <c r="U655" s="1925"/>
      <c r="V655" s="1925"/>
      <c r="W655" s="1925"/>
      <c r="X655" s="1925"/>
      <c r="Y655" s="1925"/>
      <c r="Z655" s="1925"/>
      <c r="AA655" s="1925"/>
      <c r="AB655" s="1925"/>
      <c r="AC655" s="1925"/>
      <c r="AD655" s="570"/>
      <c r="AE655" s="2005"/>
      <c r="AF655" s="2005"/>
      <c r="AG655" s="2005"/>
      <c r="AH655" s="2005"/>
      <c r="AI655" s="2005"/>
      <c r="AJ655" s="2005"/>
      <c r="AK655" s="2005"/>
      <c r="AL655" s="628"/>
      <c r="AN655" s="631"/>
      <c r="AO655" s="584" t="s">
        <v>600</v>
      </c>
      <c r="AP655" s="707">
        <v>0</v>
      </c>
    </row>
    <row r="656" spans="1:42" s="584" customFormat="1" ht="12.75" customHeight="1">
      <c r="A656" s="713"/>
      <c r="B656" s="570"/>
      <c r="C656" s="570"/>
      <c r="D656" s="697"/>
      <c r="E656" s="1925"/>
      <c r="F656" s="1925"/>
      <c r="G656" s="1925"/>
      <c r="H656" s="1925"/>
      <c r="I656" s="1925"/>
      <c r="J656" s="1925"/>
      <c r="K656" s="1925"/>
      <c r="L656" s="1925"/>
      <c r="M656" s="1925"/>
      <c r="N656" s="1925"/>
      <c r="O656" s="1925"/>
      <c r="P656" s="1925"/>
      <c r="Q656" s="1925"/>
      <c r="R656" s="1925"/>
      <c r="S656" s="1925"/>
      <c r="T656" s="1925"/>
      <c r="U656" s="1925"/>
      <c r="V656" s="1925"/>
      <c r="W656" s="1925"/>
      <c r="X656" s="1925"/>
      <c r="Y656" s="1925"/>
      <c r="Z656" s="1925"/>
      <c r="AA656" s="1925"/>
      <c r="AB656" s="1925"/>
      <c r="AC656" s="1925"/>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1508</v>
      </c>
      <c r="E658" s="1925" t="s">
        <v>1532</v>
      </c>
      <c r="F658" s="1925"/>
      <c r="G658" s="1925"/>
      <c r="H658" s="1925"/>
      <c r="I658" s="1925"/>
      <c r="J658" s="1925"/>
      <c r="K658" s="1925"/>
      <c r="L658" s="1925"/>
      <c r="M658" s="1925"/>
      <c r="N658" s="1925"/>
      <c r="O658" s="1925"/>
      <c r="P658" s="1925"/>
      <c r="Q658" s="1925"/>
      <c r="R658" s="1925"/>
      <c r="S658" s="1925"/>
      <c r="T658" s="1925"/>
      <c r="U658" s="1925"/>
      <c r="V658" s="1925"/>
      <c r="W658" s="1925"/>
      <c r="X658" s="1925"/>
      <c r="Y658" s="1925"/>
      <c r="Z658" s="1925"/>
      <c r="AA658" s="1925"/>
      <c r="AB658" s="1925"/>
      <c r="AC658" s="1925"/>
      <c r="AD658" s="570"/>
      <c r="AE658" s="570"/>
      <c r="AF658" s="2005" t="s">
        <v>1510</v>
      </c>
      <c r="AG658" s="2005"/>
      <c r="AH658" s="2005"/>
      <c r="AI658" s="2005"/>
      <c r="AJ658" s="2005"/>
      <c r="AK658" s="2005"/>
      <c r="AL658" s="2005"/>
      <c r="AN658" s="631"/>
    </row>
    <row r="659" spans="1:42" s="584" customFormat="1" ht="12.75" customHeight="1">
      <c r="A659" s="704"/>
      <c r="B659" s="570"/>
      <c r="C659" s="982"/>
      <c r="D659" s="697"/>
      <c r="E659" s="1925"/>
      <c r="F659" s="1925"/>
      <c r="G659" s="1925"/>
      <c r="H659" s="1925"/>
      <c r="I659" s="1925"/>
      <c r="J659" s="1925"/>
      <c r="K659" s="1925"/>
      <c r="L659" s="1925"/>
      <c r="M659" s="1925"/>
      <c r="N659" s="1925"/>
      <c r="O659" s="1925"/>
      <c r="P659" s="1925"/>
      <c r="Q659" s="1925"/>
      <c r="R659" s="1925"/>
      <c r="S659" s="1925"/>
      <c r="T659" s="1925"/>
      <c r="U659" s="1925"/>
      <c r="V659" s="1925"/>
      <c r="W659" s="1925"/>
      <c r="X659" s="1925"/>
      <c r="Y659" s="1925"/>
      <c r="Z659" s="1925"/>
      <c r="AA659" s="1925"/>
      <c r="AB659" s="1925"/>
      <c r="AC659" s="1925"/>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25"/>
      <c r="F660" s="1925"/>
      <c r="G660" s="1925"/>
      <c r="H660" s="1925"/>
      <c r="I660" s="1925"/>
      <c r="J660" s="1925"/>
      <c r="K660" s="1925"/>
      <c r="L660" s="1925"/>
      <c r="M660" s="1925"/>
      <c r="N660" s="1925"/>
      <c r="O660" s="1925"/>
      <c r="P660" s="1925"/>
      <c r="Q660" s="1925"/>
      <c r="R660" s="1925"/>
      <c r="S660" s="1925"/>
      <c r="T660" s="1925"/>
      <c r="U660" s="1925"/>
      <c r="V660" s="1925"/>
      <c r="W660" s="1925"/>
      <c r="X660" s="1925"/>
      <c r="Y660" s="1925"/>
      <c r="Z660" s="1925"/>
      <c r="AA660" s="1925"/>
      <c r="AB660" s="1925"/>
      <c r="AC660" s="1925"/>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1509</v>
      </c>
      <c r="E662" s="1925" t="s">
        <v>1533</v>
      </c>
      <c r="F662" s="1925"/>
      <c r="G662" s="1925"/>
      <c r="H662" s="1925"/>
      <c r="I662" s="1925"/>
      <c r="J662" s="1925"/>
      <c r="K662" s="1925"/>
      <c r="L662" s="1925"/>
      <c r="M662" s="1925"/>
      <c r="N662" s="1925"/>
      <c r="O662" s="1925"/>
      <c r="P662" s="1925"/>
      <c r="Q662" s="1925"/>
      <c r="R662" s="1925"/>
      <c r="S662" s="1925"/>
      <c r="T662" s="1925"/>
      <c r="U662" s="1925"/>
      <c r="V662" s="1925"/>
      <c r="W662" s="1925"/>
      <c r="X662" s="1925"/>
      <c r="Y662" s="1925"/>
      <c r="Z662" s="1925"/>
      <c r="AA662" s="1925"/>
      <c r="AB662" s="1925"/>
      <c r="AC662" s="1925"/>
      <c r="AD662" s="570"/>
      <c r="AE662" s="570"/>
      <c r="AF662" s="2005" t="s">
        <v>1463</v>
      </c>
      <c r="AG662" s="2005"/>
      <c r="AH662" s="2005"/>
      <c r="AI662" s="2005"/>
      <c r="AJ662" s="2005"/>
      <c r="AK662" s="2005"/>
      <c r="AL662" s="2005"/>
      <c r="AM662" s="630"/>
      <c r="AN662" s="631"/>
    </row>
    <row r="663" spans="1:42" s="584" customFormat="1" ht="12.75" customHeight="1">
      <c r="B663" s="570"/>
      <c r="C663" s="966"/>
      <c r="D663" s="697"/>
      <c r="E663" s="1925"/>
      <c r="F663" s="1925"/>
      <c r="G663" s="1925"/>
      <c r="H663" s="1925"/>
      <c r="I663" s="1925"/>
      <c r="J663" s="1925"/>
      <c r="K663" s="1925"/>
      <c r="L663" s="1925"/>
      <c r="M663" s="1925"/>
      <c r="N663" s="1925"/>
      <c r="O663" s="1925"/>
      <c r="P663" s="1925"/>
      <c r="Q663" s="1925"/>
      <c r="R663" s="1925"/>
      <c r="S663" s="1925"/>
      <c r="T663" s="1925"/>
      <c r="U663" s="1925"/>
      <c r="V663" s="1925"/>
      <c r="W663" s="1925"/>
      <c r="X663" s="1925"/>
      <c r="Y663" s="1925"/>
      <c r="Z663" s="1925"/>
      <c r="AA663" s="1925"/>
      <c r="AB663" s="1925"/>
      <c r="AC663" s="1925"/>
      <c r="AD663" s="570"/>
      <c r="AE663" s="570"/>
      <c r="AF663" s="570"/>
      <c r="AG663" s="570"/>
      <c r="AH663" s="570"/>
      <c r="AI663" s="570"/>
      <c r="AJ663" s="570"/>
      <c r="AK663" s="570"/>
      <c r="AL663" s="570"/>
      <c r="AM663" s="630"/>
      <c r="AN663" s="631"/>
    </row>
    <row r="664" spans="1:42" s="584" customFormat="1" ht="12.75" customHeight="1">
      <c r="B664" s="570"/>
      <c r="C664" s="966"/>
      <c r="D664" s="697"/>
      <c r="E664" s="1925"/>
      <c r="F664" s="1925"/>
      <c r="G664" s="1925"/>
      <c r="H664" s="1925"/>
      <c r="I664" s="1925"/>
      <c r="J664" s="1925"/>
      <c r="K664" s="1925"/>
      <c r="L664" s="1925"/>
      <c r="M664" s="1925"/>
      <c r="N664" s="1925"/>
      <c r="O664" s="1925"/>
      <c r="P664" s="1925"/>
      <c r="Q664" s="1925"/>
      <c r="R664" s="1925"/>
      <c r="S664" s="1925"/>
      <c r="T664" s="1925"/>
      <c r="U664" s="1925"/>
      <c r="V664" s="1925"/>
      <c r="W664" s="1925"/>
      <c r="X664" s="1925"/>
      <c r="Y664" s="1925"/>
      <c r="Z664" s="1925"/>
      <c r="AA664" s="1925"/>
      <c r="AB664" s="1925"/>
      <c r="AC664" s="1925"/>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1520</v>
      </c>
      <c r="E666" s="1925" t="s">
        <v>1534</v>
      </c>
      <c r="F666" s="1925"/>
      <c r="G666" s="1925"/>
      <c r="H666" s="1925"/>
      <c r="I666" s="1925"/>
      <c r="J666" s="1925"/>
      <c r="K666" s="1925"/>
      <c r="L666" s="1925"/>
      <c r="M666" s="1925"/>
      <c r="N666" s="1925"/>
      <c r="O666" s="1925"/>
      <c r="P666" s="1925"/>
      <c r="Q666" s="1925"/>
      <c r="R666" s="1925"/>
      <c r="S666" s="1925"/>
      <c r="T666" s="1925"/>
      <c r="U666" s="1925"/>
      <c r="V666" s="1925"/>
      <c r="W666" s="1925"/>
      <c r="X666" s="1925"/>
      <c r="Y666" s="1925"/>
      <c r="Z666" s="1925"/>
      <c r="AA666" s="1925"/>
      <c r="AB666" s="1925"/>
      <c r="AC666" s="1925"/>
      <c r="AD666" s="570"/>
      <c r="AE666" s="570"/>
      <c r="AF666" s="2005" t="s">
        <v>1519</v>
      </c>
      <c r="AG666" s="2005"/>
      <c r="AH666" s="2005"/>
      <c r="AI666" s="2005"/>
      <c r="AJ666" s="2005"/>
      <c r="AK666" s="2005"/>
      <c r="AL666" s="2005"/>
      <c r="AM666" s="630"/>
      <c r="AN666" s="631"/>
    </row>
    <row r="667" spans="1:42" s="584" customFormat="1" ht="12.75" customHeight="1">
      <c r="A667" s="713"/>
      <c r="B667" s="570"/>
      <c r="C667" s="966"/>
      <c r="D667" s="697"/>
      <c r="E667" s="1925"/>
      <c r="F667" s="1925"/>
      <c r="G667" s="1925"/>
      <c r="H667" s="1925"/>
      <c r="I667" s="1925"/>
      <c r="J667" s="1925"/>
      <c r="K667" s="1925"/>
      <c r="L667" s="1925"/>
      <c r="M667" s="1925"/>
      <c r="N667" s="1925"/>
      <c r="O667" s="1925"/>
      <c r="P667" s="1925"/>
      <c r="Q667" s="1925"/>
      <c r="R667" s="1925"/>
      <c r="S667" s="1925"/>
      <c r="T667" s="1925"/>
      <c r="U667" s="1925"/>
      <c r="V667" s="1925"/>
      <c r="W667" s="1925"/>
      <c r="X667" s="1925"/>
      <c r="Y667" s="1925"/>
      <c r="Z667" s="1925"/>
      <c r="AA667" s="1925"/>
      <c r="AB667" s="1925"/>
      <c r="AC667" s="1925"/>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25"/>
      <c r="F668" s="1925"/>
      <c r="G668" s="1925"/>
      <c r="H668" s="1925"/>
      <c r="I668" s="1925"/>
      <c r="J668" s="1925"/>
      <c r="K668" s="1925"/>
      <c r="L668" s="1925"/>
      <c r="M668" s="1925"/>
      <c r="N668" s="1925"/>
      <c r="O668" s="1925"/>
      <c r="P668" s="1925"/>
      <c r="Q668" s="1925"/>
      <c r="R668" s="1925"/>
      <c r="S668" s="1925"/>
      <c r="T668" s="1925"/>
      <c r="U668" s="1925"/>
      <c r="V668" s="1925"/>
      <c r="W668" s="1925"/>
      <c r="X668" s="1925"/>
      <c r="Y668" s="1925"/>
      <c r="Z668" s="1925"/>
      <c r="AA668" s="1925"/>
      <c r="AB668" s="1925"/>
      <c r="AC668" s="1925"/>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1522</v>
      </c>
      <c r="E670" s="1925" t="s">
        <v>1535</v>
      </c>
      <c r="F670" s="1925"/>
      <c r="G670" s="1925"/>
      <c r="H670" s="1925"/>
      <c r="I670" s="1925"/>
      <c r="J670" s="1925"/>
      <c r="K670" s="1925"/>
      <c r="L670" s="1925"/>
      <c r="M670" s="1925"/>
      <c r="N670" s="1925"/>
      <c r="O670" s="1925"/>
      <c r="P670" s="1925"/>
      <c r="Q670" s="1925"/>
      <c r="R670" s="1925"/>
      <c r="S670" s="1925"/>
      <c r="T670" s="1925"/>
      <c r="U670" s="1925"/>
      <c r="V670" s="1925"/>
      <c r="W670" s="1925"/>
      <c r="X670" s="1925"/>
      <c r="Y670" s="1925"/>
      <c r="Z670" s="1925"/>
      <c r="AA670" s="1925"/>
      <c r="AB670" s="1925"/>
      <c r="AC670" s="1925"/>
      <c r="AD670" s="570"/>
      <c r="AE670" s="570"/>
      <c r="AF670" s="2005" t="s">
        <v>1536</v>
      </c>
      <c r="AG670" s="2005"/>
      <c r="AH670" s="2005"/>
      <c r="AI670" s="2005"/>
      <c r="AJ670" s="2005"/>
      <c r="AK670" s="2005"/>
      <c r="AL670" s="2005"/>
      <c r="AM670" s="630"/>
      <c r="AN670" s="631"/>
      <c r="AO670" s="645" t="s">
        <v>697</v>
      </c>
      <c r="AP670" s="584">
        <v>3</v>
      </c>
    </row>
    <row r="671" spans="1:42" s="584" customFormat="1" ht="12.75" customHeight="1">
      <c r="A671" s="713"/>
      <c r="B671" s="570"/>
      <c r="C671" s="966"/>
      <c r="D671" s="697"/>
      <c r="E671" s="1925"/>
      <c r="F671" s="1925"/>
      <c r="G671" s="1925"/>
      <c r="H671" s="1925"/>
      <c r="I671" s="1925"/>
      <c r="J671" s="1925"/>
      <c r="K671" s="1925"/>
      <c r="L671" s="1925"/>
      <c r="M671" s="1925"/>
      <c r="N671" s="1925"/>
      <c r="O671" s="1925"/>
      <c r="P671" s="1925"/>
      <c r="Q671" s="1925"/>
      <c r="R671" s="1925"/>
      <c r="S671" s="1925"/>
      <c r="T671" s="1925"/>
      <c r="U671" s="1925"/>
      <c r="V671" s="1925"/>
      <c r="W671" s="1925"/>
      <c r="X671" s="1925"/>
      <c r="Y671" s="1925"/>
      <c r="Z671" s="1925"/>
      <c r="AA671" s="1925"/>
      <c r="AB671" s="1925"/>
      <c r="AC671" s="1925"/>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25"/>
      <c r="F672" s="1925"/>
      <c r="G672" s="1925"/>
      <c r="H672" s="1925"/>
      <c r="I672" s="1925"/>
      <c r="J672" s="1925"/>
      <c r="K672" s="1925"/>
      <c r="L672" s="1925"/>
      <c r="M672" s="1925"/>
      <c r="N672" s="1925"/>
      <c r="O672" s="1925"/>
      <c r="P672" s="1925"/>
      <c r="Q672" s="1925"/>
      <c r="R672" s="1925"/>
      <c r="S672" s="1925"/>
      <c r="T672" s="1925"/>
      <c r="U672" s="1925"/>
      <c r="V672" s="1925"/>
      <c r="W672" s="1925"/>
      <c r="X672" s="1925"/>
      <c r="Y672" s="1925"/>
      <c r="Z672" s="1925"/>
      <c r="AA672" s="1925"/>
      <c r="AB672" s="1925"/>
      <c r="AC672" s="1925"/>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1511</v>
      </c>
      <c r="E674" s="971"/>
      <c r="F674" s="971"/>
      <c r="G674" s="971"/>
      <c r="H674" s="1949" t="s">
        <v>518</v>
      </c>
      <c r="I674" s="1949"/>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1537</v>
      </c>
      <c r="AJ676" s="1932">
        <f>VLOOKUP($H$674,$AO$622:$AP$629,2,FALSE)</f>
        <v>4</v>
      </c>
      <c r="AK676" s="1934"/>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2455</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2545</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2546</v>
      </c>
      <c r="AX679" s="1196">
        <f>Application!G753</f>
        <v>145</v>
      </c>
    </row>
    <row r="680" spans="1:51" s="584" customFormat="1" ht="12.75" customHeight="1">
      <c r="A680" s="713"/>
      <c r="B680" s="570"/>
      <c r="C680" s="983"/>
      <c r="D680" s="697" t="s">
        <v>697</v>
      </c>
      <c r="E680" s="2040" t="s">
        <v>2552</v>
      </c>
      <c r="F680" s="2040"/>
      <c r="G680" s="2040"/>
      <c r="H680" s="2040"/>
      <c r="I680" s="2040"/>
      <c r="J680" s="2040"/>
      <c r="K680" s="2040"/>
      <c r="L680" s="2040"/>
      <c r="M680" s="2040"/>
      <c r="N680" s="2040"/>
      <c r="O680" s="2040"/>
      <c r="P680" s="2040"/>
      <c r="Q680" s="2040"/>
      <c r="R680" s="2040"/>
      <c r="S680" s="2040"/>
      <c r="T680" s="2040"/>
      <c r="U680" s="2040"/>
      <c r="V680" s="2040"/>
      <c r="W680" s="2040"/>
      <c r="X680" s="2040"/>
      <c r="Y680" s="2040"/>
      <c r="Z680" s="2040"/>
      <c r="AA680" s="2040"/>
      <c r="AB680" s="2040"/>
      <c r="AC680" s="570"/>
      <c r="AD680" s="570"/>
      <c r="AE680" s="570"/>
      <c r="AF680" s="2005" t="s">
        <v>1463</v>
      </c>
      <c r="AG680" s="2005"/>
      <c r="AH680" s="2005"/>
      <c r="AI680" s="2005"/>
      <c r="AJ680" s="2005"/>
      <c r="AK680" s="2005"/>
      <c r="AL680" s="2005"/>
      <c r="AN680" s="631"/>
      <c r="AW680" s="22" t="s">
        <v>2547</v>
      </c>
      <c r="AX680" s="584">
        <f>Application!CC632</f>
        <v>41</v>
      </c>
    </row>
    <row r="681" spans="1:51" s="584" customFormat="1" ht="12.75" customHeight="1">
      <c r="A681" s="713"/>
      <c r="B681" s="570"/>
      <c r="C681" s="983"/>
      <c r="D681" s="697"/>
      <c r="E681" s="2040"/>
      <c r="F681" s="2040"/>
      <c r="G681" s="2040"/>
      <c r="H681" s="2040"/>
      <c r="I681" s="2040"/>
      <c r="J681" s="2040"/>
      <c r="K681" s="2040"/>
      <c r="L681" s="2040"/>
      <c r="M681" s="2040"/>
      <c r="N681" s="2040"/>
      <c r="O681" s="2040"/>
      <c r="P681" s="2040"/>
      <c r="Q681" s="2040"/>
      <c r="R681" s="2040"/>
      <c r="S681" s="2040"/>
      <c r="T681" s="2040"/>
      <c r="U681" s="2040"/>
      <c r="V681" s="2040"/>
      <c r="W681" s="2040"/>
      <c r="X681" s="2040"/>
      <c r="Y681" s="2040"/>
      <c r="Z681" s="2040"/>
      <c r="AA681" s="2040"/>
      <c r="AB681" s="2040"/>
      <c r="AC681" s="570"/>
      <c r="AD681" s="570"/>
      <c r="AE681" s="570"/>
      <c r="AF681" s="570"/>
      <c r="AG681" s="570"/>
      <c r="AH681" s="570"/>
      <c r="AI681" s="570"/>
      <c r="AJ681" s="570"/>
      <c r="AK681" s="570"/>
      <c r="AL681" s="570"/>
      <c r="AN681" s="631"/>
      <c r="AW681" s="22" t="s">
        <v>2548</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2549</v>
      </c>
      <c r="AX682" s="584">
        <f>Application!CM632</f>
        <v>0</v>
      </c>
    </row>
    <row r="683" spans="1:51" s="584" customFormat="1" ht="12.75" customHeight="1">
      <c r="B683" s="570"/>
      <c r="C683" s="966"/>
      <c r="D683" s="697" t="s">
        <v>518</v>
      </c>
      <c r="E683" s="1925" t="s">
        <v>2453</v>
      </c>
      <c r="F683" s="1925"/>
      <c r="G683" s="1925"/>
      <c r="H683" s="1925"/>
      <c r="I683" s="1925"/>
      <c r="J683" s="1925"/>
      <c r="K683" s="1925"/>
      <c r="L683" s="1925"/>
      <c r="M683" s="1925"/>
      <c r="N683" s="1925"/>
      <c r="O683" s="1925"/>
      <c r="P683" s="1925"/>
      <c r="Q683" s="1925"/>
      <c r="R683" s="1925"/>
      <c r="S683" s="1925"/>
      <c r="T683" s="1925"/>
      <c r="U683" s="1925"/>
      <c r="V683" s="1925"/>
      <c r="W683" s="1925"/>
      <c r="X683" s="1925"/>
      <c r="Y683" s="1925"/>
      <c r="Z683" s="1925"/>
      <c r="AA683" s="1925"/>
      <c r="AB683" s="1925"/>
      <c r="AC683" s="570"/>
      <c r="AD683" s="570"/>
      <c r="AE683" s="570"/>
      <c r="AF683" s="2005" t="s">
        <v>1463</v>
      </c>
      <c r="AG683" s="2005"/>
      <c r="AH683" s="2005"/>
      <c r="AI683" s="2005"/>
      <c r="AJ683" s="2005"/>
      <c r="AK683" s="2005"/>
      <c r="AL683" s="2005"/>
      <c r="AN683" s="631"/>
      <c r="AW683" s="22" t="s">
        <v>2550</v>
      </c>
      <c r="AX683" s="584">
        <f>AX680+AX681+AX682</f>
        <v>41</v>
      </c>
    </row>
    <row r="684" spans="1:51" s="584" customFormat="1" ht="12.75" customHeight="1">
      <c r="B684" s="570"/>
      <c r="C684" s="975"/>
      <c r="D684" s="697"/>
      <c r="E684" s="1925"/>
      <c r="F684" s="1925"/>
      <c r="G684" s="1925"/>
      <c r="H684" s="1925"/>
      <c r="I684" s="1925"/>
      <c r="J684" s="1925"/>
      <c r="K684" s="1925"/>
      <c r="L684" s="1925"/>
      <c r="M684" s="1925"/>
      <c r="N684" s="1925"/>
      <c r="O684" s="1925"/>
      <c r="P684" s="1925"/>
      <c r="Q684" s="1925"/>
      <c r="R684" s="1925"/>
      <c r="S684" s="1925"/>
      <c r="T684" s="1925"/>
      <c r="U684" s="1925"/>
      <c r="V684" s="1925"/>
      <c r="W684" s="1925"/>
      <c r="X684" s="1925"/>
      <c r="Y684" s="1925"/>
      <c r="Z684" s="1925"/>
      <c r="AA684" s="1925"/>
      <c r="AB684" s="1925"/>
      <c r="AC684" s="570"/>
      <c r="AD684" s="570"/>
      <c r="AE684" s="650"/>
      <c r="AF684" s="570"/>
      <c r="AG684" s="570"/>
      <c r="AH684" s="570"/>
      <c r="AI684" s="570"/>
      <c r="AJ684" s="570"/>
      <c r="AK684" s="570"/>
      <c r="AL684" s="570"/>
      <c r="AN684" s="631"/>
      <c r="AO684" s="1940" t="b">
        <f>IF(Application!D211="Special Needs",IF(AY684&gt;=0.25,TRUE,FALSE),IF(AX684&gt;=0.25,TRUE,FALSE))</f>
        <v>1</v>
      </c>
      <c r="AP684" s="1940"/>
      <c r="AW684" s="22" t="s">
        <v>2551</v>
      </c>
      <c r="AX684" s="584">
        <f>IFERROR(AX683/AX679,0)</f>
        <v>0.28275862068965518</v>
      </c>
      <c r="AY684" s="584">
        <f>IFERROR(AX683/(AX679-AX678),0)</f>
        <v>0.28275862068965518</v>
      </c>
    </row>
    <row r="685" spans="1:51" s="584" customFormat="1" ht="12.75" customHeight="1">
      <c r="B685" s="570"/>
      <c r="C685" s="975"/>
      <c r="E685" s="1925"/>
      <c r="F685" s="1925"/>
      <c r="G685" s="1925"/>
      <c r="H685" s="1925"/>
      <c r="I685" s="1925"/>
      <c r="J685" s="1925"/>
      <c r="K685" s="1925"/>
      <c r="L685" s="1925"/>
      <c r="M685" s="1925"/>
      <c r="N685" s="1925"/>
      <c r="O685" s="1925"/>
      <c r="P685" s="1925"/>
      <c r="Q685" s="1925"/>
      <c r="R685" s="1925"/>
      <c r="S685" s="1925"/>
      <c r="T685" s="1925"/>
      <c r="U685" s="1925"/>
      <c r="V685" s="1925"/>
      <c r="W685" s="1925"/>
      <c r="X685" s="1925"/>
      <c r="Y685" s="1925"/>
      <c r="Z685" s="1925"/>
      <c r="AA685" s="1925"/>
      <c r="AB685" s="1925"/>
      <c r="AC685" s="570"/>
      <c r="AD685" s="570"/>
      <c r="AE685" s="650"/>
      <c r="AF685" s="650"/>
      <c r="AG685" s="650"/>
      <c r="AH685" s="650"/>
      <c r="AI685" s="650"/>
      <c r="AJ685" s="650"/>
      <c r="AK685" s="650"/>
      <c r="AL685" s="650"/>
      <c r="AN685" s="631"/>
      <c r="AW685" s="14"/>
    </row>
    <row r="686" spans="1:51" s="584" customFormat="1" ht="28.5" customHeight="1">
      <c r="B686" s="570"/>
      <c r="C686" s="975"/>
      <c r="D686" s="570"/>
      <c r="E686" s="1925"/>
      <c r="F686" s="1925"/>
      <c r="G686" s="1925"/>
      <c r="H686" s="1925"/>
      <c r="I686" s="1925"/>
      <c r="J686" s="1925"/>
      <c r="K686" s="1925"/>
      <c r="L686" s="1925"/>
      <c r="M686" s="1925"/>
      <c r="N686" s="1925"/>
      <c r="O686" s="1925"/>
      <c r="P686" s="1925"/>
      <c r="Q686" s="1925"/>
      <c r="R686" s="1925"/>
      <c r="S686" s="1925"/>
      <c r="T686" s="1925"/>
      <c r="U686" s="1925"/>
      <c r="V686" s="1925"/>
      <c r="W686" s="1925"/>
      <c r="X686" s="1925"/>
      <c r="Y686" s="1925"/>
      <c r="Z686" s="1925"/>
      <c r="AA686" s="1925"/>
      <c r="AB686" s="1925"/>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25" t="s">
        <v>2454</v>
      </c>
      <c r="F688" s="1925"/>
      <c r="G688" s="1925"/>
      <c r="H688" s="1925"/>
      <c r="I688" s="1925"/>
      <c r="J688" s="1925"/>
      <c r="K688" s="1925"/>
      <c r="L688" s="1925"/>
      <c r="M688" s="1925"/>
      <c r="N688" s="1925"/>
      <c r="O688" s="1925"/>
      <c r="P688" s="1925"/>
      <c r="Q688" s="1925"/>
      <c r="R688" s="1925"/>
      <c r="S688" s="1925"/>
      <c r="T688" s="1925"/>
      <c r="U688" s="1925"/>
      <c r="V688" s="1925"/>
      <c r="W688" s="1925"/>
      <c r="X688" s="1925"/>
      <c r="Y688" s="1925"/>
      <c r="Z688" s="1925"/>
      <c r="AA688" s="1925"/>
      <c r="AB688" s="1925"/>
      <c r="AC688" s="570"/>
      <c r="AD688" s="570"/>
      <c r="AE688" s="570"/>
      <c r="AF688" s="2005" t="s">
        <v>1519</v>
      </c>
      <c r="AG688" s="2005"/>
      <c r="AH688" s="2005"/>
      <c r="AI688" s="2005"/>
      <c r="AJ688" s="2005"/>
      <c r="AK688" s="2005"/>
      <c r="AL688" s="2005"/>
      <c r="AN688" s="631"/>
      <c r="AO688" s="645" t="s">
        <v>518</v>
      </c>
      <c r="AP688" s="584">
        <v>1</v>
      </c>
    </row>
    <row r="689" spans="1:42" s="584" customFormat="1" ht="12" customHeight="1">
      <c r="B689" s="570"/>
      <c r="C689" s="966"/>
      <c r="E689" s="1925"/>
      <c r="F689" s="1925"/>
      <c r="G689" s="1925"/>
      <c r="H689" s="1925"/>
      <c r="I689" s="1925"/>
      <c r="J689" s="1925"/>
      <c r="K689" s="1925"/>
      <c r="L689" s="1925"/>
      <c r="M689" s="1925"/>
      <c r="N689" s="1925"/>
      <c r="O689" s="1925"/>
      <c r="P689" s="1925"/>
      <c r="Q689" s="1925"/>
      <c r="R689" s="1925"/>
      <c r="S689" s="1925"/>
      <c r="T689" s="1925"/>
      <c r="U689" s="1925"/>
      <c r="V689" s="1925"/>
      <c r="W689" s="1925"/>
      <c r="X689" s="1925"/>
      <c r="Y689" s="1925"/>
      <c r="Z689" s="1925"/>
      <c r="AA689" s="1925"/>
      <c r="AB689" s="1925"/>
      <c r="AC689" s="570"/>
      <c r="AD689" s="570"/>
      <c r="AE689" s="650"/>
      <c r="AF689" s="570"/>
      <c r="AG689" s="570"/>
      <c r="AH689" s="570"/>
      <c r="AI689" s="570"/>
      <c r="AJ689" s="570"/>
      <c r="AK689" s="570"/>
      <c r="AL689" s="570"/>
      <c r="AN689" s="631"/>
    </row>
    <row r="690" spans="1:42" s="584" customFormat="1" ht="12" customHeight="1">
      <c r="B690" s="570"/>
      <c r="C690" s="966"/>
      <c r="D690" s="570"/>
      <c r="E690" s="1925"/>
      <c r="F690" s="1925"/>
      <c r="G690" s="1925"/>
      <c r="H690" s="1925"/>
      <c r="I690" s="1925"/>
      <c r="J690" s="1925"/>
      <c r="K690" s="1925"/>
      <c r="L690" s="1925"/>
      <c r="M690" s="1925"/>
      <c r="N690" s="1925"/>
      <c r="O690" s="1925"/>
      <c r="P690" s="1925"/>
      <c r="Q690" s="1925"/>
      <c r="R690" s="1925"/>
      <c r="S690" s="1925"/>
      <c r="T690" s="1925"/>
      <c r="U690" s="1925"/>
      <c r="V690" s="1925"/>
      <c r="W690" s="1925"/>
      <c r="X690" s="1925"/>
      <c r="Y690" s="1925"/>
      <c r="Z690" s="1925"/>
      <c r="AA690" s="1925"/>
      <c r="AB690" s="1925"/>
      <c r="AC690" s="570"/>
      <c r="AD690" s="570"/>
      <c r="AE690" s="650"/>
      <c r="AF690" s="570"/>
      <c r="AG690" s="570"/>
      <c r="AH690" s="570"/>
      <c r="AI690" s="570"/>
      <c r="AJ690" s="570"/>
      <c r="AK690" s="570"/>
      <c r="AL690" s="570"/>
      <c r="AN690" s="631"/>
    </row>
    <row r="691" spans="1:42" s="584" customFormat="1" ht="12" customHeight="1">
      <c r="B691" s="570"/>
      <c r="C691" s="966"/>
      <c r="D691" s="570"/>
      <c r="E691" s="1925"/>
      <c r="F691" s="1925"/>
      <c r="G691" s="1925"/>
      <c r="H691" s="1925"/>
      <c r="I691" s="1925"/>
      <c r="J691" s="1925"/>
      <c r="K691" s="1925"/>
      <c r="L691" s="1925"/>
      <c r="M691" s="1925"/>
      <c r="N691" s="1925"/>
      <c r="O691" s="1925"/>
      <c r="P691" s="1925"/>
      <c r="Q691" s="1925"/>
      <c r="R691" s="1925"/>
      <c r="S691" s="1925"/>
      <c r="T691" s="1925"/>
      <c r="U691" s="1925"/>
      <c r="V691" s="1925"/>
      <c r="W691" s="1925"/>
      <c r="X691" s="1925"/>
      <c r="Y691" s="1925"/>
      <c r="Z691" s="1925"/>
      <c r="AA691" s="1925"/>
      <c r="AB691" s="1925"/>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25"/>
      <c r="F692" s="1925"/>
      <c r="G692" s="1925"/>
      <c r="H692" s="1925"/>
      <c r="I692" s="1925"/>
      <c r="J692" s="1925"/>
      <c r="K692" s="1925"/>
      <c r="L692" s="1925"/>
      <c r="M692" s="1925"/>
      <c r="N692" s="1925"/>
      <c r="O692" s="1925"/>
      <c r="P692" s="1925"/>
      <c r="Q692" s="1925"/>
      <c r="R692" s="1925"/>
      <c r="S692" s="1925"/>
      <c r="T692" s="1925"/>
      <c r="U692" s="1925"/>
      <c r="V692" s="1925"/>
      <c r="W692" s="1925"/>
      <c r="X692" s="1925"/>
      <c r="Y692" s="1925"/>
      <c r="Z692" s="1925"/>
      <c r="AA692" s="1925"/>
      <c r="AB692" s="1925"/>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25" t="s">
        <v>1883</v>
      </c>
      <c r="F694" s="1925"/>
      <c r="G694" s="1925"/>
      <c r="H694" s="1925"/>
      <c r="I694" s="1925"/>
      <c r="J694" s="1925"/>
      <c r="K694" s="1925"/>
      <c r="L694" s="1925"/>
      <c r="M694" s="1925"/>
      <c r="N694" s="1925"/>
      <c r="O694" s="1925"/>
      <c r="P694" s="1925"/>
      <c r="Q694" s="1925"/>
      <c r="R694" s="1925"/>
      <c r="S694" s="1925"/>
      <c r="T694" s="1925"/>
      <c r="U694" s="1925"/>
      <c r="V694" s="1925"/>
      <c r="W694" s="1925"/>
      <c r="X694" s="1925"/>
      <c r="Y694" s="1925"/>
      <c r="Z694" s="1925"/>
      <c r="AA694" s="1925"/>
      <c r="AB694" s="1925"/>
      <c r="AC694" s="570"/>
      <c r="AD694" s="570"/>
      <c r="AE694" s="650"/>
      <c r="AF694" s="650"/>
      <c r="AG694" s="650"/>
      <c r="AH694" s="650"/>
      <c r="AI694" s="650"/>
      <c r="AJ694" s="570"/>
      <c r="AK694" s="570"/>
      <c r="AL694" s="570"/>
      <c r="AM694" s="584"/>
      <c r="AN694" s="718"/>
      <c r="AO694" s="645" t="s">
        <v>518</v>
      </c>
      <c r="AP694" s="584">
        <f>3*$AO$684</f>
        <v>3</v>
      </c>
    </row>
    <row r="695" spans="1:42" s="604" customFormat="1" ht="12.75" customHeight="1">
      <c r="A695" s="584"/>
      <c r="B695" s="570"/>
      <c r="C695" s="966"/>
      <c r="D695" s="570"/>
      <c r="E695" s="1925"/>
      <c r="F695" s="1925"/>
      <c r="G695" s="1925"/>
      <c r="H695" s="1925"/>
      <c r="I695" s="1925"/>
      <c r="J695" s="1925"/>
      <c r="K695" s="1925"/>
      <c r="L695" s="1925"/>
      <c r="M695" s="1925"/>
      <c r="N695" s="1925"/>
      <c r="O695" s="1925"/>
      <c r="P695" s="1925"/>
      <c r="Q695" s="1925"/>
      <c r="R695" s="1925"/>
      <c r="S695" s="1925"/>
      <c r="T695" s="1925"/>
      <c r="U695" s="1925"/>
      <c r="V695" s="1925"/>
      <c r="W695" s="1925"/>
      <c r="X695" s="1925"/>
      <c r="Y695" s="1925"/>
      <c r="Z695" s="1925"/>
      <c r="AA695" s="1925"/>
      <c r="AB695" s="1925"/>
      <c r="AC695" s="570"/>
      <c r="AD695" s="570"/>
      <c r="AE695" s="650"/>
      <c r="AF695" s="650"/>
      <c r="AG695" s="650"/>
      <c r="AH695" s="650"/>
      <c r="AI695" s="650"/>
      <c r="AJ695" s="570"/>
      <c r="AK695" s="570"/>
      <c r="AL695" s="570"/>
      <c r="AM695" s="584"/>
      <c r="AN695" s="718"/>
      <c r="AO695" s="645" t="s">
        <v>279</v>
      </c>
      <c r="AP695" s="584">
        <f>2*$AO$684</f>
        <v>2</v>
      </c>
    </row>
    <row r="696" spans="1:42" s="604" customFormat="1" ht="12.75" customHeight="1">
      <c r="A696" s="584"/>
      <c r="B696" s="570"/>
      <c r="C696" s="966"/>
      <c r="D696" s="570"/>
      <c r="E696" s="1925"/>
      <c r="F696" s="1925"/>
      <c r="G696" s="1925"/>
      <c r="H696" s="1925"/>
      <c r="I696" s="1925"/>
      <c r="J696" s="1925"/>
      <c r="K696" s="1925"/>
      <c r="L696" s="1925"/>
      <c r="M696" s="1925"/>
      <c r="N696" s="1925"/>
      <c r="O696" s="1925"/>
      <c r="P696" s="1925"/>
      <c r="Q696" s="1925"/>
      <c r="R696" s="1925"/>
      <c r="S696" s="1925"/>
      <c r="T696" s="1925"/>
      <c r="U696" s="1925"/>
      <c r="V696" s="1925"/>
      <c r="W696" s="1925"/>
      <c r="X696" s="1925"/>
      <c r="Y696" s="1925"/>
      <c r="Z696" s="1925"/>
      <c r="AA696" s="1925"/>
      <c r="AB696" s="1925"/>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1511</v>
      </c>
      <c r="E698" s="971"/>
      <c r="F698" s="971"/>
      <c r="G698" s="971"/>
      <c r="H698" s="1949" t="s">
        <v>697</v>
      </c>
      <c r="I698" s="1949"/>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1538</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1516</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2456</v>
      </c>
      <c r="AJ700" s="1932">
        <f>VLOOKUP($H$698,$AO$692:$AP$695,2,FALSE)</f>
        <v>3</v>
      </c>
      <c r="AK700" s="1934"/>
      <c r="AL700" s="629"/>
      <c r="AM700" s="584"/>
      <c r="AN700" s="718"/>
      <c r="AP700" s="604" t="s">
        <v>1523</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1539</v>
      </c>
    </row>
    <row r="702" spans="1:42" s="604" customFormat="1" ht="12.75" customHeight="1">
      <c r="A702" s="584"/>
      <c r="B702" s="570"/>
      <c r="C702" s="573" t="s">
        <v>1540</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1541</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1542</v>
      </c>
    </row>
    <row r="704" spans="1:42" s="604" customFormat="1" ht="12.75" customHeight="1">
      <c r="A704" s="671"/>
      <c r="B704" s="570"/>
      <c r="C704" s="966"/>
      <c r="D704" s="697" t="s">
        <v>697</v>
      </c>
      <c r="E704" s="2038" t="s">
        <v>1885</v>
      </c>
      <c r="F704" s="2038"/>
      <c r="G704" s="2038"/>
      <c r="H704" s="2038"/>
      <c r="I704" s="2038"/>
      <c r="J704" s="2038"/>
      <c r="K704" s="2038"/>
      <c r="L704" s="2038"/>
      <c r="M704" s="2038"/>
      <c r="N704" s="2038"/>
      <c r="O704" s="2038"/>
      <c r="P704" s="2038"/>
      <c r="Q704" s="2038"/>
      <c r="R704" s="2038"/>
      <c r="S704" s="2038"/>
      <c r="T704" s="2038"/>
      <c r="U704" s="2038"/>
      <c r="V704" s="2038"/>
      <c r="W704" s="2038"/>
      <c r="X704" s="2038"/>
      <c r="Y704" s="2038"/>
      <c r="Z704" s="2038"/>
      <c r="AA704" s="2038"/>
      <c r="AB704" s="2038"/>
      <c r="AC704" s="570"/>
      <c r="AD704" s="570"/>
      <c r="AE704" s="570"/>
      <c r="AF704" s="2005" t="s">
        <v>1463</v>
      </c>
      <c r="AG704" s="2005"/>
      <c r="AH704" s="2005"/>
      <c r="AI704" s="2005"/>
      <c r="AJ704" s="2005"/>
      <c r="AK704" s="2005"/>
      <c r="AL704" s="2005"/>
      <c r="AM704" s="584"/>
      <c r="AN704" s="718"/>
      <c r="AP704" s="604" t="s">
        <v>1543</v>
      </c>
    </row>
    <row r="705" spans="1:52" s="604" customFormat="1" ht="11.85" customHeight="1">
      <c r="A705" s="584"/>
      <c r="B705" s="570"/>
      <c r="C705" s="968"/>
      <c r="D705" s="697"/>
      <c r="E705" s="2038"/>
      <c r="F705" s="2038"/>
      <c r="G705" s="2038"/>
      <c r="H705" s="2038"/>
      <c r="I705" s="2038"/>
      <c r="J705" s="2038"/>
      <c r="K705" s="2038"/>
      <c r="L705" s="2038"/>
      <c r="M705" s="2038"/>
      <c r="N705" s="2038"/>
      <c r="O705" s="2038"/>
      <c r="P705" s="2038"/>
      <c r="Q705" s="2038"/>
      <c r="R705" s="2038"/>
      <c r="S705" s="2038"/>
      <c r="T705" s="2038"/>
      <c r="U705" s="2038"/>
      <c r="V705" s="2038"/>
      <c r="W705" s="2038"/>
      <c r="X705" s="2038"/>
      <c r="Y705" s="2038"/>
      <c r="Z705" s="2038"/>
      <c r="AA705" s="2038"/>
      <c r="AB705" s="2038"/>
      <c r="AC705" s="570"/>
      <c r="AD705" s="570"/>
      <c r="AE705" s="570"/>
      <c r="AF705" s="570"/>
      <c r="AG705" s="570"/>
      <c r="AH705" s="570"/>
      <c r="AI705" s="570"/>
      <c r="AJ705" s="570"/>
      <c r="AK705" s="570"/>
      <c r="AL705" s="570"/>
      <c r="AM705" s="584"/>
      <c r="AN705" s="718"/>
      <c r="AP705" s="604" t="s">
        <v>1544</v>
      </c>
    </row>
    <row r="706" spans="1:52" s="604" customFormat="1" ht="13.9" customHeight="1">
      <c r="A706" s="584"/>
      <c r="B706" s="644"/>
      <c r="C706" s="966"/>
      <c r="D706" s="697"/>
      <c r="E706" s="2038"/>
      <c r="F706" s="2038"/>
      <c r="G706" s="2038"/>
      <c r="H706" s="2038"/>
      <c r="I706" s="2038"/>
      <c r="J706" s="2038"/>
      <c r="K706" s="2038"/>
      <c r="L706" s="2038"/>
      <c r="M706" s="2038"/>
      <c r="N706" s="2038"/>
      <c r="O706" s="2038"/>
      <c r="P706" s="2038"/>
      <c r="Q706" s="2038"/>
      <c r="R706" s="2038"/>
      <c r="S706" s="2038"/>
      <c r="T706" s="2038"/>
      <c r="U706" s="2038"/>
      <c r="V706" s="2038"/>
      <c r="W706" s="2038"/>
      <c r="X706" s="2038"/>
      <c r="Y706" s="2038"/>
      <c r="Z706" s="2038"/>
      <c r="AA706" s="2038"/>
      <c r="AB706" s="2038"/>
      <c r="AC706" s="570"/>
      <c r="AD706" s="570"/>
      <c r="AE706" s="650"/>
      <c r="AF706" s="570"/>
      <c r="AG706" s="570"/>
      <c r="AH706" s="570"/>
      <c r="AI706" s="570"/>
      <c r="AJ706" s="570"/>
      <c r="AK706" s="570"/>
      <c r="AL706" s="570"/>
      <c r="AM706" s="584"/>
      <c r="AN706" s="718"/>
      <c r="AP706" s="604" t="s">
        <v>1545</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1547</v>
      </c>
    </row>
    <row r="708" spans="1:52" s="604" customFormat="1" ht="13.9" customHeight="1">
      <c r="A708" s="584"/>
      <c r="B708" s="570"/>
      <c r="C708" s="966"/>
      <c r="D708" s="697" t="s">
        <v>518</v>
      </c>
      <c r="E708" s="2039" t="s">
        <v>1546</v>
      </c>
      <c r="F708" s="2039"/>
      <c r="G708" s="2039"/>
      <c r="H708" s="2039"/>
      <c r="I708" s="2039"/>
      <c r="J708" s="2039"/>
      <c r="K708" s="2039"/>
      <c r="L708" s="2039"/>
      <c r="M708" s="2039"/>
      <c r="N708" s="2039"/>
      <c r="O708" s="2039"/>
      <c r="P708" s="2039"/>
      <c r="Q708" s="2039"/>
      <c r="R708" s="2039"/>
      <c r="S708" s="2039"/>
      <c r="T708" s="2039"/>
      <c r="U708" s="2039"/>
      <c r="V708" s="2039"/>
      <c r="W708" s="2039"/>
      <c r="X708" s="2039"/>
      <c r="Y708" s="2039"/>
      <c r="Z708" s="2039"/>
      <c r="AA708" s="2039"/>
      <c r="AB708" s="2039"/>
      <c r="AC708" s="570"/>
      <c r="AD708" s="570"/>
      <c r="AE708" s="570"/>
      <c r="AF708" s="2005" t="s">
        <v>1519</v>
      </c>
      <c r="AG708" s="2005"/>
      <c r="AH708" s="2005"/>
      <c r="AI708" s="2005"/>
      <c r="AJ708" s="2005"/>
      <c r="AK708" s="2005"/>
      <c r="AL708" s="2005"/>
      <c r="AM708" s="584"/>
      <c r="AN708" s="719"/>
    </row>
    <row r="709" spans="1:52" s="604" customFormat="1" ht="12.75" customHeight="1">
      <c r="A709" s="584"/>
      <c r="B709" s="570"/>
      <c r="C709" s="968"/>
      <c r="D709" s="570"/>
      <c r="E709" s="2039"/>
      <c r="F709" s="2039"/>
      <c r="G709" s="2039"/>
      <c r="H709" s="2039"/>
      <c r="I709" s="2039"/>
      <c r="J709" s="2039"/>
      <c r="K709" s="2039"/>
      <c r="L709" s="2039"/>
      <c r="M709" s="2039"/>
      <c r="N709" s="2039"/>
      <c r="O709" s="2039"/>
      <c r="P709" s="2039"/>
      <c r="Q709" s="2039"/>
      <c r="R709" s="2039"/>
      <c r="S709" s="2039"/>
      <c r="T709" s="2039"/>
      <c r="U709" s="2039"/>
      <c r="V709" s="2039"/>
      <c r="W709" s="2039"/>
      <c r="X709" s="2039"/>
      <c r="Y709" s="2039"/>
      <c r="Z709" s="2039"/>
      <c r="AA709" s="2039"/>
      <c r="AB709" s="2039"/>
      <c r="AC709" s="570"/>
      <c r="AD709" s="570"/>
      <c r="AE709" s="570"/>
      <c r="AF709" s="570"/>
      <c r="AG709" s="570"/>
      <c r="AH709" s="570"/>
      <c r="AI709" s="570"/>
      <c r="AJ709" s="570"/>
      <c r="AK709" s="570"/>
      <c r="AL709" s="570"/>
      <c r="AM709" s="584"/>
      <c r="AN709" s="718"/>
      <c r="AP709" s="584" t="s">
        <v>600</v>
      </c>
      <c r="AQ709" s="707">
        <v>0</v>
      </c>
    </row>
    <row r="710" spans="1:52" s="604" customFormat="1" ht="13.9" customHeight="1">
      <c r="A710" s="584"/>
      <c r="B710" s="570"/>
      <c r="C710" s="968"/>
      <c r="D710" s="570"/>
      <c r="E710" s="2039"/>
      <c r="F710" s="2039"/>
      <c r="G710" s="2039"/>
      <c r="H710" s="2039"/>
      <c r="I710" s="2039"/>
      <c r="J710" s="2039"/>
      <c r="K710" s="2039"/>
      <c r="L710" s="2039"/>
      <c r="M710" s="2039"/>
      <c r="N710" s="2039"/>
      <c r="O710" s="2039"/>
      <c r="P710" s="2039"/>
      <c r="Q710" s="2039"/>
      <c r="R710" s="2039"/>
      <c r="S710" s="2039"/>
      <c r="T710" s="2039"/>
      <c r="U710" s="2039"/>
      <c r="V710" s="2039"/>
      <c r="W710" s="2039"/>
      <c r="X710" s="2039"/>
      <c r="Y710" s="2039"/>
      <c r="Z710" s="2039"/>
      <c r="AA710" s="2039"/>
      <c r="AB710" s="2039"/>
      <c r="AC710" s="570"/>
      <c r="AD710" s="570"/>
      <c r="AE710" s="570"/>
      <c r="AF710" s="570"/>
      <c r="AG710" s="570"/>
      <c r="AH710" s="570"/>
      <c r="AI710" s="570"/>
      <c r="AJ710" s="570"/>
      <c r="AK710" s="570"/>
      <c r="AL710" s="570"/>
      <c r="AM710" s="584"/>
      <c r="AN710" s="718"/>
      <c r="AP710" s="645" t="s">
        <v>697</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9" customHeight="1">
      <c r="A712" s="584"/>
      <c r="B712" s="570"/>
      <c r="C712" s="968"/>
      <c r="D712" s="570" t="s">
        <v>1511</v>
      </c>
      <c r="E712" s="971"/>
      <c r="F712" s="971"/>
      <c r="G712" s="971"/>
      <c r="H712" s="1949" t="s">
        <v>600</v>
      </c>
      <c r="I712" s="1949"/>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1548</v>
      </c>
      <c r="AJ714" s="1932">
        <f>VLOOKUP($H$712,$AP$709:$AQ$711,2,FALSE)</f>
        <v>0</v>
      </c>
      <c r="AK714" s="1934"/>
      <c r="AL714" s="629"/>
      <c r="AM714" s="584"/>
      <c r="AN714" s="718"/>
      <c r="AP714" s="1932"/>
      <c r="AQ714" s="1934"/>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1549</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697</v>
      </c>
      <c r="E718" s="1925" t="s">
        <v>1886</v>
      </c>
      <c r="F718" s="1925"/>
      <c r="G718" s="1925"/>
      <c r="H718" s="1925"/>
      <c r="I718" s="1925"/>
      <c r="J718" s="1925"/>
      <c r="K718" s="1925"/>
      <c r="L718" s="1925"/>
      <c r="M718" s="1925"/>
      <c r="N718" s="1925"/>
      <c r="O718" s="1925"/>
      <c r="P718" s="1925"/>
      <c r="Q718" s="1925"/>
      <c r="R718" s="1925"/>
      <c r="S718" s="1925"/>
      <c r="T718" s="1925"/>
      <c r="U718" s="1925"/>
      <c r="V718" s="1925"/>
      <c r="W718" s="1925"/>
      <c r="X718" s="1925"/>
      <c r="Y718" s="1925"/>
      <c r="Z718" s="1925"/>
      <c r="AA718" s="1925"/>
      <c r="AB718" s="1925"/>
      <c r="AC718" s="570"/>
      <c r="AD718" s="570"/>
      <c r="AE718" s="570"/>
      <c r="AF718" s="2005" t="s">
        <v>1463</v>
      </c>
      <c r="AG718" s="2005"/>
      <c r="AH718" s="2005"/>
      <c r="AI718" s="2005"/>
      <c r="AJ718" s="2005"/>
      <c r="AK718" s="2005"/>
      <c r="AL718" s="2005"/>
      <c r="AM718" s="584"/>
      <c r="AN718" s="718"/>
      <c r="AT718" s="14"/>
      <c r="AU718" s="14"/>
      <c r="AV718" s="14"/>
      <c r="AW718" s="14"/>
      <c r="AX718" s="14"/>
      <c r="AY718" s="14"/>
      <c r="AZ718" s="14"/>
    </row>
    <row r="719" spans="1:52" s="604" customFormat="1">
      <c r="A719" s="584"/>
      <c r="B719" s="570"/>
      <c r="C719" s="968"/>
      <c r="D719" s="697"/>
      <c r="E719" s="1925"/>
      <c r="F719" s="1925"/>
      <c r="G719" s="1925"/>
      <c r="H719" s="1925"/>
      <c r="I719" s="1925"/>
      <c r="J719" s="1925"/>
      <c r="K719" s="1925"/>
      <c r="L719" s="1925"/>
      <c r="M719" s="1925"/>
      <c r="N719" s="1925"/>
      <c r="O719" s="1925"/>
      <c r="P719" s="1925"/>
      <c r="Q719" s="1925"/>
      <c r="R719" s="1925"/>
      <c r="S719" s="1925"/>
      <c r="T719" s="1925"/>
      <c r="U719" s="1925"/>
      <c r="V719" s="1925"/>
      <c r="W719" s="1925"/>
      <c r="X719" s="1925"/>
      <c r="Y719" s="1925"/>
      <c r="Z719" s="1925"/>
      <c r="AA719" s="1925"/>
      <c r="AB719" s="1925"/>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25" t="s">
        <v>1550</v>
      </c>
      <c r="F721" s="1925"/>
      <c r="G721" s="1925"/>
      <c r="H721" s="1925"/>
      <c r="I721" s="1925"/>
      <c r="J721" s="1925"/>
      <c r="K721" s="1925"/>
      <c r="L721" s="1925"/>
      <c r="M721" s="1925"/>
      <c r="N721" s="1925"/>
      <c r="O721" s="1925"/>
      <c r="P721" s="1925"/>
      <c r="Q721" s="1925"/>
      <c r="R721" s="1925"/>
      <c r="S721" s="1925"/>
      <c r="T721" s="1925"/>
      <c r="U721" s="1925"/>
      <c r="V721" s="1925"/>
      <c r="W721" s="1925"/>
      <c r="X721" s="1925"/>
      <c r="Y721" s="1925"/>
      <c r="Z721" s="1925"/>
      <c r="AA721" s="1925"/>
      <c r="AB721" s="1925"/>
      <c r="AC721" s="570"/>
      <c r="AD721" s="570"/>
      <c r="AE721" s="570"/>
      <c r="AF721" s="2005" t="s">
        <v>1519</v>
      </c>
      <c r="AG721" s="2005"/>
      <c r="AH721" s="2005"/>
      <c r="AI721" s="2005"/>
      <c r="AJ721" s="2005"/>
      <c r="AK721" s="2005"/>
      <c r="AL721" s="2005"/>
      <c r="AM721" s="584"/>
      <c r="AN721" s="718"/>
      <c r="AT721" s="14"/>
      <c r="AU721" s="14"/>
      <c r="AV721" s="14"/>
      <c r="AW721" s="14"/>
      <c r="AX721" s="14"/>
      <c r="AY721" s="14"/>
      <c r="AZ721" s="14"/>
    </row>
    <row r="722" spans="1:81" s="604" customFormat="1">
      <c r="A722" s="584"/>
      <c r="B722" s="570"/>
      <c r="C722" s="968"/>
      <c r="D722" s="570"/>
      <c r="E722" s="1925"/>
      <c r="F722" s="1925"/>
      <c r="G722" s="1925"/>
      <c r="H722" s="1925"/>
      <c r="I722" s="1925"/>
      <c r="J722" s="1925"/>
      <c r="K722" s="1925"/>
      <c r="L722" s="1925"/>
      <c r="M722" s="1925"/>
      <c r="N722" s="1925"/>
      <c r="O722" s="1925"/>
      <c r="P722" s="1925"/>
      <c r="Q722" s="1925"/>
      <c r="R722" s="1925"/>
      <c r="S722" s="1925"/>
      <c r="T722" s="1925"/>
      <c r="U722" s="1925"/>
      <c r="V722" s="1925"/>
      <c r="W722" s="1925"/>
      <c r="X722" s="1925"/>
      <c r="Y722" s="1925"/>
      <c r="Z722" s="1925"/>
      <c r="AA722" s="1925"/>
      <c r="AB722" s="1925"/>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1511</v>
      </c>
      <c r="E724" s="971"/>
      <c r="F724" s="971"/>
      <c r="G724" s="971"/>
      <c r="H724" s="1949" t="s">
        <v>600</v>
      </c>
      <c r="I724" s="1949"/>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1551</v>
      </c>
      <c r="AJ726" s="1932">
        <f>VLOOKUP($H$724,$AO$655:$AP$657,2,FALSE)</f>
        <v>0</v>
      </c>
      <c r="AK726" s="1934"/>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1552</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697</v>
      </c>
      <c r="E730" s="1925" t="s">
        <v>1553</v>
      </c>
      <c r="F730" s="1925"/>
      <c r="G730" s="1925"/>
      <c r="H730" s="1925"/>
      <c r="I730" s="1925"/>
      <c r="J730" s="1925"/>
      <c r="K730" s="1925"/>
      <c r="L730" s="1925"/>
      <c r="M730" s="1925"/>
      <c r="N730" s="1925"/>
      <c r="O730" s="1925"/>
      <c r="P730" s="1925"/>
      <c r="Q730" s="1925"/>
      <c r="R730" s="1925"/>
      <c r="S730" s="1925"/>
      <c r="T730" s="1925"/>
      <c r="U730" s="1925"/>
      <c r="V730" s="1925"/>
      <c r="W730" s="1925"/>
      <c r="X730" s="1925"/>
      <c r="Y730" s="1925"/>
      <c r="Z730" s="1925"/>
      <c r="AA730" s="1925"/>
      <c r="AB730" s="1925"/>
      <c r="AC730" s="570"/>
      <c r="AD730" s="570"/>
      <c r="AE730" s="570"/>
      <c r="AF730" s="2005" t="s">
        <v>1463</v>
      </c>
      <c r="AG730" s="2005"/>
      <c r="AH730" s="2005"/>
      <c r="AI730" s="2005"/>
      <c r="AJ730" s="2005"/>
      <c r="AK730" s="2005"/>
      <c r="AL730" s="2005"/>
      <c r="AM730" s="584"/>
      <c r="AN730" s="718"/>
      <c r="AT730" s="14"/>
      <c r="AU730" s="14"/>
      <c r="AV730" s="14"/>
      <c r="AW730" s="14"/>
      <c r="AX730" s="14"/>
      <c r="AY730" s="14"/>
      <c r="AZ730" s="14"/>
    </row>
    <row r="731" spans="1:81" s="604" customFormat="1">
      <c r="A731" s="584"/>
      <c r="B731" s="570"/>
      <c r="C731" s="966"/>
      <c r="D731" s="697"/>
      <c r="E731" s="1925"/>
      <c r="F731" s="1925"/>
      <c r="G731" s="1925"/>
      <c r="H731" s="1925"/>
      <c r="I731" s="1925"/>
      <c r="J731" s="1925"/>
      <c r="K731" s="1925"/>
      <c r="L731" s="1925"/>
      <c r="M731" s="1925"/>
      <c r="N731" s="1925"/>
      <c r="O731" s="1925"/>
      <c r="P731" s="1925"/>
      <c r="Q731" s="1925"/>
      <c r="R731" s="1925"/>
      <c r="S731" s="1925"/>
      <c r="T731" s="1925"/>
      <c r="U731" s="1925"/>
      <c r="V731" s="1925"/>
      <c r="W731" s="1925"/>
      <c r="X731" s="1925"/>
      <c r="Y731" s="1925"/>
      <c r="Z731" s="1925"/>
      <c r="AA731" s="1925"/>
      <c r="AB731" s="1925"/>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25"/>
      <c r="F732" s="1925"/>
      <c r="G732" s="1925"/>
      <c r="H732" s="1925"/>
      <c r="I732" s="1925"/>
      <c r="J732" s="1925"/>
      <c r="K732" s="1925"/>
      <c r="L732" s="1925"/>
      <c r="M732" s="1925"/>
      <c r="N732" s="1925"/>
      <c r="O732" s="1925"/>
      <c r="P732" s="1925"/>
      <c r="Q732" s="1925"/>
      <c r="R732" s="1925"/>
      <c r="S732" s="1925"/>
      <c r="T732" s="1925"/>
      <c r="U732" s="1925"/>
      <c r="V732" s="1925"/>
      <c r="W732" s="1925"/>
      <c r="X732" s="1925"/>
      <c r="Y732" s="1925"/>
      <c r="Z732" s="1925"/>
      <c r="AA732" s="1925"/>
      <c r="AB732" s="1925"/>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25"/>
      <c r="F733" s="1925"/>
      <c r="G733" s="1925"/>
      <c r="H733" s="1925"/>
      <c r="I733" s="1925"/>
      <c r="J733" s="1925"/>
      <c r="K733" s="1925"/>
      <c r="L733" s="1925"/>
      <c r="M733" s="1925"/>
      <c r="N733" s="1925"/>
      <c r="O733" s="1925"/>
      <c r="P733" s="1925"/>
      <c r="Q733" s="1925"/>
      <c r="R733" s="1925"/>
      <c r="S733" s="1925"/>
      <c r="T733" s="1925"/>
      <c r="U733" s="1925"/>
      <c r="V733" s="1925"/>
      <c r="W733" s="1925"/>
      <c r="X733" s="1925"/>
      <c r="Y733" s="1925"/>
      <c r="Z733" s="1925"/>
      <c r="AA733" s="1925"/>
      <c r="AB733" s="1925"/>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518</v>
      </c>
      <c r="E735" s="1925" t="s">
        <v>1554</v>
      </c>
      <c r="F735" s="1925"/>
      <c r="G735" s="1925"/>
      <c r="H735" s="1925"/>
      <c r="I735" s="1925"/>
      <c r="J735" s="1925"/>
      <c r="K735" s="1925"/>
      <c r="L735" s="1925"/>
      <c r="M735" s="1925"/>
      <c r="N735" s="1925"/>
      <c r="O735" s="1925"/>
      <c r="P735" s="1925"/>
      <c r="Q735" s="1925"/>
      <c r="R735" s="1925"/>
      <c r="S735" s="1925"/>
      <c r="T735" s="1925"/>
      <c r="U735" s="1925"/>
      <c r="V735" s="1925"/>
      <c r="W735" s="1925"/>
      <c r="X735" s="1925"/>
      <c r="Y735" s="1925"/>
      <c r="Z735" s="1925"/>
      <c r="AA735" s="1925"/>
      <c r="AB735" s="609"/>
      <c r="AC735" s="570"/>
      <c r="AD735" s="570"/>
      <c r="AE735" s="570"/>
      <c r="AF735" s="2005" t="s">
        <v>1519</v>
      </c>
      <c r="AG735" s="2005"/>
      <c r="AH735" s="2005"/>
      <c r="AI735" s="2005"/>
      <c r="AJ735" s="2005"/>
      <c r="AK735" s="2005"/>
      <c r="AL735" s="2005"/>
      <c r="AM735" s="584"/>
      <c r="AN735" s="718"/>
      <c r="AO735" s="30"/>
      <c r="AP735" s="14"/>
    </row>
    <row r="736" spans="1:81" s="604" customFormat="1">
      <c r="A736" s="584"/>
      <c r="B736" s="570"/>
      <c r="C736" s="966"/>
      <c r="D736" s="697"/>
      <c r="E736" s="1925"/>
      <c r="F736" s="1925"/>
      <c r="G736" s="1925"/>
      <c r="H736" s="1925"/>
      <c r="I736" s="1925"/>
      <c r="J736" s="1925"/>
      <c r="K736" s="1925"/>
      <c r="L736" s="1925"/>
      <c r="M736" s="1925"/>
      <c r="N736" s="1925"/>
      <c r="O736" s="1925"/>
      <c r="P736" s="1925"/>
      <c r="Q736" s="1925"/>
      <c r="R736" s="1925"/>
      <c r="S736" s="1925"/>
      <c r="T736" s="1925"/>
      <c r="U736" s="1925"/>
      <c r="V736" s="1925"/>
      <c r="W736" s="1925"/>
      <c r="X736" s="1925"/>
      <c r="Y736" s="1925"/>
      <c r="Z736" s="1925"/>
      <c r="AA736" s="1925"/>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25"/>
      <c r="F737" s="1925"/>
      <c r="G737" s="1925"/>
      <c r="H737" s="1925"/>
      <c r="I737" s="1925"/>
      <c r="J737" s="1925"/>
      <c r="K737" s="1925"/>
      <c r="L737" s="1925"/>
      <c r="M737" s="1925"/>
      <c r="N737" s="1925"/>
      <c r="O737" s="1925"/>
      <c r="P737" s="1925"/>
      <c r="Q737" s="1925"/>
      <c r="R737" s="1925"/>
      <c r="S737" s="1925"/>
      <c r="T737" s="1925"/>
      <c r="U737" s="1925"/>
      <c r="V737" s="1925"/>
      <c r="W737" s="1925"/>
      <c r="X737" s="1925"/>
      <c r="Y737" s="1925"/>
      <c r="Z737" s="1925"/>
      <c r="AA737" s="1925"/>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25"/>
      <c r="F738" s="1925"/>
      <c r="G738" s="1925"/>
      <c r="H738" s="1925"/>
      <c r="I738" s="1925"/>
      <c r="J738" s="1925"/>
      <c r="K738" s="1925"/>
      <c r="L738" s="1925"/>
      <c r="M738" s="1925"/>
      <c r="N738" s="1925"/>
      <c r="O738" s="1925"/>
      <c r="P738" s="1925"/>
      <c r="Q738" s="1925"/>
      <c r="R738" s="1925"/>
      <c r="S738" s="1925"/>
      <c r="T738" s="1925"/>
      <c r="U738" s="1925"/>
      <c r="V738" s="1925"/>
      <c r="W738" s="1925"/>
      <c r="X738" s="1925"/>
      <c r="Y738" s="1925"/>
      <c r="Z738" s="1925"/>
      <c r="AA738" s="1925"/>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1511</v>
      </c>
      <c r="E740" s="971"/>
      <c r="F740" s="971"/>
      <c r="G740" s="971"/>
      <c r="H740" s="1949" t="s">
        <v>600</v>
      </c>
      <c r="I740" s="1949"/>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1555</v>
      </c>
      <c r="AJ742" s="1932">
        <f>VLOOKUP($H$740,$AO$669:$AP$671,2,FALSE)</f>
        <v>0</v>
      </c>
      <c r="AK742" s="1934"/>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1545</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697</v>
      </c>
      <c r="E746" s="1925" t="s">
        <v>1556</v>
      </c>
      <c r="F746" s="1925"/>
      <c r="G746" s="1925"/>
      <c r="H746" s="1925"/>
      <c r="I746" s="1925"/>
      <c r="J746" s="1925"/>
      <c r="K746" s="1925"/>
      <c r="L746" s="1925"/>
      <c r="M746" s="1925"/>
      <c r="N746" s="1925"/>
      <c r="O746" s="1925"/>
      <c r="P746" s="1925"/>
      <c r="Q746" s="1925"/>
      <c r="R746" s="1925"/>
      <c r="S746" s="1925"/>
      <c r="T746" s="1925"/>
      <c r="U746" s="1925"/>
      <c r="V746" s="1925"/>
      <c r="W746" s="1925"/>
      <c r="X746" s="1925"/>
      <c r="Y746" s="1925"/>
      <c r="Z746" s="1925"/>
      <c r="AA746" s="1925"/>
      <c r="AB746" s="1925"/>
      <c r="AC746" s="570"/>
      <c r="AD746" s="570"/>
      <c r="AE746" s="570"/>
      <c r="AF746" s="2005" t="s">
        <v>1519</v>
      </c>
      <c r="AG746" s="2005"/>
      <c r="AH746" s="2005"/>
      <c r="AI746" s="2005"/>
      <c r="AJ746" s="2005"/>
      <c r="AK746" s="2005"/>
      <c r="AL746" s="2005"/>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25"/>
      <c r="F747" s="1925"/>
      <c r="G747" s="1925"/>
      <c r="H747" s="1925"/>
      <c r="I747" s="1925"/>
      <c r="J747" s="1925"/>
      <c r="K747" s="1925"/>
      <c r="L747" s="1925"/>
      <c r="M747" s="1925"/>
      <c r="N747" s="1925"/>
      <c r="O747" s="1925"/>
      <c r="P747" s="1925"/>
      <c r="Q747" s="1925"/>
      <c r="R747" s="1925"/>
      <c r="S747" s="1925"/>
      <c r="T747" s="1925"/>
      <c r="U747" s="1925"/>
      <c r="V747" s="1925"/>
      <c r="W747" s="1925"/>
      <c r="X747" s="1925"/>
      <c r="Y747" s="1925"/>
      <c r="Z747" s="1925"/>
      <c r="AA747" s="1925"/>
      <c r="AB747" s="1925"/>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518</v>
      </c>
      <c r="E749" s="1925" t="s">
        <v>1557</v>
      </c>
      <c r="F749" s="1925"/>
      <c r="G749" s="1925"/>
      <c r="H749" s="1925"/>
      <c r="I749" s="1925"/>
      <c r="J749" s="1925"/>
      <c r="K749" s="1925"/>
      <c r="L749" s="1925"/>
      <c r="M749" s="1925"/>
      <c r="N749" s="1925"/>
      <c r="O749" s="1925"/>
      <c r="P749" s="1925"/>
      <c r="Q749" s="1925"/>
      <c r="R749" s="1925"/>
      <c r="S749" s="1925"/>
      <c r="T749" s="1925"/>
      <c r="U749" s="1925"/>
      <c r="V749" s="1925"/>
      <c r="W749" s="1925"/>
      <c r="X749" s="1925"/>
      <c r="Y749" s="1925"/>
      <c r="Z749" s="1925"/>
      <c r="AA749" s="1925"/>
      <c r="AB749" s="1925"/>
      <c r="AC749" s="570"/>
      <c r="AD749" s="570"/>
      <c r="AE749" s="570"/>
      <c r="AF749" s="2005" t="s">
        <v>1536</v>
      </c>
      <c r="AG749" s="2005"/>
      <c r="AH749" s="2005"/>
      <c r="AI749" s="2005"/>
      <c r="AJ749" s="2005"/>
      <c r="AK749" s="2005"/>
      <c r="AL749" s="2005"/>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25"/>
      <c r="F750" s="1925"/>
      <c r="G750" s="1925"/>
      <c r="H750" s="1925"/>
      <c r="I750" s="1925"/>
      <c r="J750" s="1925"/>
      <c r="K750" s="1925"/>
      <c r="L750" s="1925"/>
      <c r="M750" s="1925"/>
      <c r="N750" s="1925"/>
      <c r="O750" s="1925"/>
      <c r="P750" s="1925"/>
      <c r="Q750" s="1925"/>
      <c r="R750" s="1925"/>
      <c r="S750" s="1925"/>
      <c r="T750" s="1925"/>
      <c r="U750" s="1925"/>
      <c r="V750" s="1925"/>
      <c r="W750" s="1925"/>
      <c r="X750" s="1925"/>
      <c r="Y750" s="1925"/>
      <c r="Z750" s="1925"/>
      <c r="AA750" s="1925"/>
      <c r="AB750" s="1925"/>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1511</v>
      </c>
      <c r="E752" s="971"/>
      <c r="F752" s="971"/>
      <c r="G752" s="971"/>
      <c r="H752" s="1949" t="s">
        <v>518</v>
      </c>
      <c r="I752" s="1949"/>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1558</v>
      </c>
      <c r="AJ754" s="1932">
        <f>VLOOKUP($H$752,$AO$686:$AP$688,2,FALSE)</f>
        <v>1</v>
      </c>
      <c r="AK754" s="1934"/>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1547</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697</v>
      </c>
      <c r="E758" s="1925" t="s">
        <v>1882</v>
      </c>
      <c r="F758" s="1925"/>
      <c r="G758" s="1925"/>
      <c r="H758" s="1925"/>
      <c r="I758" s="1925"/>
      <c r="J758" s="1925"/>
      <c r="K758" s="1925"/>
      <c r="L758" s="1925"/>
      <c r="M758" s="1925"/>
      <c r="N758" s="1925"/>
      <c r="O758" s="1925"/>
      <c r="P758" s="1925"/>
      <c r="Q758" s="1925"/>
      <c r="R758" s="1925"/>
      <c r="S758" s="1925"/>
      <c r="T758" s="1925"/>
      <c r="U758" s="1925"/>
      <c r="V758" s="1925"/>
      <c r="W758" s="1925"/>
      <c r="X758" s="1925"/>
      <c r="Y758" s="1925"/>
      <c r="Z758" s="1925"/>
      <c r="AA758" s="1925"/>
      <c r="AB758" s="1925"/>
      <c r="AC758" s="1925"/>
      <c r="AD758" s="1925"/>
      <c r="AE758" s="570"/>
      <c r="AF758" s="2005" t="s">
        <v>1519</v>
      </c>
      <c r="AG758" s="2005"/>
      <c r="AH758" s="2005"/>
      <c r="AI758" s="2005"/>
      <c r="AJ758" s="2005"/>
      <c r="AK758" s="2005"/>
      <c r="AL758" s="2005"/>
      <c r="AM758" s="647"/>
      <c r="AN758" s="718"/>
      <c r="AO758" s="584" t="s">
        <v>600</v>
      </c>
      <c r="AP758" s="707">
        <v>0</v>
      </c>
    </row>
    <row r="759" spans="1:74" s="604" customFormat="1" ht="13.7" customHeight="1">
      <c r="A759" s="584"/>
      <c r="B759" s="650"/>
      <c r="C759" s="975"/>
      <c r="D759" s="697"/>
      <c r="E759" s="1925"/>
      <c r="F759" s="1925"/>
      <c r="G759" s="1925"/>
      <c r="H759" s="1925"/>
      <c r="I759" s="1925"/>
      <c r="J759" s="1925"/>
      <c r="K759" s="1925"/>
      <c r="L759" s="1925"/>
      <c r="M759" s="1925"/>
      <c r="N759" s="1925"/>
      <c r="O759" s="1925"/>
      <c r="P759" s="1925"/>
      <c r="Q759" s="1925"/>
      <c r="R759" s="1925"/>
      <c r="S759" s="1925"/>
      <c r="T759" s="1925"/>
      <c r="U759" s="1925"/>
      <c r="V759" s="1925"/>
      <c r="W759" s="1925"/>
      <c r="X759" s="1925"/>
      <c r="Y759" s="1925"/>
      <c r="Z759" s="1925"/>
      <c r="AA759" s="1925"/>
      <c r="AB759" s="1925"/>
      <c r="AC759" s="1925"/>
      <c r="AD759" s="1925"/>
      <c r="AE759" s="570"/>
      <c r="AF759" s="628"/>
      <c r="AG759" s="628"/>
      <c r="AH759" s="628"/>
      <c r="AI759" s="628"/>
      <c r="AJ759" s="628"/>
      <c r="AK759" s="628"/>
      <c r="AL759" s="628"/>
      <c r="AM759" s="647"/>
      <c r="AN759" s="718"/>
      <c r="AO759" s="645" t="s">
        <v>697</v>
      </c>
      <c r="AP759" s="584">
        <v>2</v>
      </c>
    </row>
    <row r="760" spans="1:74" s="604" customFormat="1">
      <c r="A760" s="584"/>
      <c r="B760" s="650"/>
      <c r="C760" s="975"/>
      <c r="D760" s="697"/>
      <c r="E760" s="1925"/>
      <c r="F760" s="1925"/>
      <c r="G760" s="1925"/>
      <c r="H760" s="1925"/>
      <c r="I760" s="1925"/>
      <c r="J760" s="1925"/>
      <c r="K760" s="1925"/>
      <c r="L760" s="1925"/>
      <c r="M760" s="1925"/>
      <c r="N760" s="1925"/>
      <c r="O760" s="1925"/>
      <c r="P760" s="1925"/>
      <c r="Q760" s="1925"/>
      <c r="R760" s="1925"/>
      <c r="S760" s="1925"/>
      <c r="T760" s="1925"/>
      <c r="U760" s="1925"/>
      <c r="V760" s="1925"/>
      <c r="W760" s="1925"/>
      <c r="X760" s="1925"/>
      <c r="Y760" s="1925"/>
      <c r="Z760" s="1925"/>
      <c r="AA760" s="1925"/>
      <c r="AB760" s="1925"/>
      <c r="AC760" s="1925"/>
      <c r="AD760" s="1925"/>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25"/>
      <c r="F761" s="1925"/>
      <c r="G761" s="1925"/>
      <c r="H761" s="1925"/>
      <c r="I761" s="1925"/>
      <c r="J761" s="1925"/>
      <c r="K761" s="1925"/>
      <c r="L761" s="1925"/>
      <c r="M761" s="1925"/>
      <c r="N761" s="1925"/>
      <c r="O761" s="1925"/>
      <c r="P761" s="1925"/>
      <c r="Q761" s="1925"/>
      <c r="R761" s="1925"/>
      <c r="S761" s="1925"/>
      <c r="T761" s="1925"/>
      <c r="U761" s="1925"/>
      <c r="V761" s="1925"/>
      <c r="W761" s="1925"/>
      <c r="X761" s="1925"/>
      <c r="Y761" s="1925"/>
      <c r="Z761" s="1925"/>
      <c r="AA761" s="1925"/>
      <c r="AB761" s="1925"/>
      <c r="AC761" s="1925"/>
      <c r="AD761" s="1925"/>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37" t="s">
        <v>1887</v>
      </c>
      <c r="F763" s="2037"/>
      <c r="G763" s="2037"/>
      <c r="H763" s="2037"/>
      <c r="I763" s="2037"/>
      <c r="J763" s="2037"/>
      <c r="K763" s="2037"/>
      <c r="L763" s="2037"/>
      <c r="M763" s="2037"/>
      <c r="N763" s="2037"/>
      <c r="O763" s="2037"/>
      <c r="P763" s="2037"/>
      <c r="Q763" s="2037"/>
      <c r="R763" s="2037"/>
      <c r="S763" s="2037"/>
      <c r="T763" s="2037"/>
      <c r="U763" s="2037"/>
      <c r="V763" s="2037"/>
      <c r="W763" s="2037"/>
      <c r="X763" s="2037"/>
      <c r="Y763" s="2037"/>
      <c r="Z763" s="2037"/>
      <c r="AA763" s="2037"/>
      <c r="AB763" s="2037"/>
      <c r="AC763" s="2037"/>
      <c r="AD763" s="2037"/>
      <c r="AE763" s="570"/>
      <c r="AF763" s="2005" t="s">
        <v>1463</v>
      </c>
      <c r="AG763" s="2005"/>
      <c r="AH763" s="2005"/>
      <c r="AI763" s="2005"/>
      <c r="AJ763" s="2005"/>
      <c r="AK763" s="2005"/>
      <c r="AL763" s="2005"/>
      <c r="AM763" s="647"/>
      <c r="AN763" s="631"/>
    </row>
    <row r="764" spans="1:74" s="584" customFormat="1" ht="12.75" customHeight="1">
      <c r="B764" s="650"/>
      <c r="C764" s="975"/>
      <c r="D764" s="697"/>
      <c r="E764" s="2037"/>
      <c r="F764" s="2037"/>
      <c r="G764" s="2037"/>
      <c r="H764" s="2037"/>
      <c r="I764" s="2037"/>
      <c r="J764" s="2037"/>
      <c r="K764" s="2037"/>
      <c r="L764" s="2037"/>
      <c r="M764" s="2037"/>
      <c r="N764" s="2037"/>
      <c r="O764" s="2037"/>
      <c r="P764" s="2037"/>
      <c r="Q764" s="2037"/>
      <c r="R764" s="2037"/>
      <c r="S764" s="2037"/>
      <c r="T764" s="2037"/>
      <c r="U764" s="2037"/>
      <c r="V764" s="2037"/>
      <c r="W764" s="2037"/>
      <c r="X764" s="2037"/>
      <c r="Y764" s="2037"/>
      <c r="Z764" s="2037"/>
      <c r="AA764" s="2037"/>
      <c r="AB764" s="2037"/>
      <c r="AC764" s="2037"/>
      <c r="AD764" s="2037"/>
      <c r="AE764" s="628"/>
      <c r="AF764" s="628"/>
      <c r="AG764" s="628"/>
      <c r="AH764" s="628"/>
      <c r="AI764" s="628"/>
      <c r="AJ764" s="628"/>
      <c r="AK764" s="628"/>
      <c r="AL764" s="628"/>
      <c r="AM764" s="647"/>
      <c r="AN764" s="631"/>
    </row>
    <row r="765" spans="1:74" s="584" customFormat="1" ht="12.75" customHeight="1">
      <c r="B765" s="650"/>
      <c r="C765" s="975"/>
      <c r="D765" s="697"/>
      <c r="E765" s="2037"/>
      <c r="F765" s="2037"/>
      <c r="G765" s="2037"/>
      <c r="H765" s="2037"/>
      <c r="I765" s="2037"/>
      <c r="J765" s="2037"/>
      <c r="K765" s="2037"/>
      <c r="L765" s="2037"/>
      <c r="M765" s="2037"/>
      <c r="N765" s="2037"/>
      <c r="O765" s="2037"/>
      <c r="P765" s="2037"/>
      <c r="Q765" s="2037"/>
      <c r="R765" s="2037"/>
      <c r="S765" s="2037"/>
      <c r="T765" s="2037"/>
      <c r="U765" s="2037"/>
      <c r="V765" s="2037"/>
      <c r="W765" s="2037"/>
      <c r="X765" s="2037"/>
      <c r="Y765" s="2037"/>
      <c r="Z765" s="2037"/>
      <c r="AA765" s="2037"/>
      <c r="AB765" s="2037"/>
      <c r="AC765" s="2037"/>
      <c r="AD765" s="2037"/>
      <c r="AE765" s="628"/>
      <c r="AF765" s="628"/>
      <c r="AG765" s="628"/>
      <c r="AH765" s="628"/>
      <c r="AI765" s="628"/>
      <c r="AJ765" s="628"/>
      <c r="AK765" s="628"/>
      <c r="AL765" s="628"/>
      <c r="AM765" s="647"/>
      <c r="AN765" s="631"/>
    </row>
    <row r="766" spans="1:74" s="584" customFormat="1" ht="12.75" customHeight="1">
      <c r="B766" s="650"/>
      <c r="C766" s="975"/>
      <c r="D766" s="697"/>
      <c r="E766" s="2037"/>
      <c r="F766" s="2037"/>
      <c r="G766" s="2037"/>
      <c r="H766" s="2037"/>
      <c r="I766" s="2037"/>
      <c r="J766" s="2037"/>
      <c r="K766" s="2037"/>
      <c r="L766" s="2037"/>
      <c r="M766" s="2037"/>
      <c r="N766" s="2037"/>
      <c r="O766" s="2037"/>
      <c r="P766" s="2037"/>
      <c r="Q766" s="2037"/>
      <c r="R766" s="2037"/>
      <c r="S766" s="2037"/>
      <c r="T766" s="2037"/>
      <c r="U766" s="2037"/>
      <c r="V766" s="2037"/>
      <c r="W766" s="2037"/>
      <c r="X766" s="2037"/>
      <c r="Y766" s="2037"/>
      <c r="Z766" s="2037"/>
      <c r="AA766" s="2037"/>
      <c r="AB766" s="2037"/>
      <c r="AC766" s="2037"/>
      <c r="AD766" s="2037"/>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1511</v>
      </c>
      <c r="E768" s="971"/>
      <c r="F768" s="971"/>
      <c r="G768" s="971"/>
      <c r="H768" s="1949" t="s">
        <v>600</v>
      </c>
      <c r="I768" s="1949"/>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1559</v>
      </c>
      <c r="AJ770" s="1932">
        <f>VLOOKUP($H$768,$AO$758:$AP$760,2,FALSE)</f>
        <v>0</v>
      </c>
      <c r="AK770" s="1934"/>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1560</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697</v>
      </c>
      <c r="E774" s="1925" t="s">
        <v>2347</v>
      </c>
      <c r="F774" s="1925"/>
      <c r="G774" s="1925"/>
      <c r="H774" s="1925"/>
      <c r="I774" s="1925"/>
      <c r="J774" s="1925"/>
      <c r="K774" s="1925"/>
      <c r="L774" s="1925"/>
      <c r="M774" s="1925"/>
      <c r="N774" s="1925"/>
      <c r="O774" s="1925"/>
      <c r="P774" s="1925"/>
      <c r="Q774" s="1925"/>
      <c r="R774" s="1925"/>
      <c r="S774" s="1925"/>
      <c r="T774" s="1925"/>
      <c r="U774" s="1925"/>
      <c r="V774" s="1925"/>
      <c r="W774" s="1925"/>
      <c r="X774" s="1925"/>
      <c r="Y774" s="1925"/>
      <c r="Z774" s="1925"/>
      <c r="AA774" s="1925"/>
      <c r="AB774" s="1925"/>
      <c r="AC774" s="1925"/>
      <c r="AD774" s="1925"/>
      <c r="AE774" s="570"/>
      <c r="AF774" s="2005" t="s">
        <v>1463</v>
      </c>
      <c r="AG774" s="2005"/>
      <c r="AH774" s="2005"/>
      <c r="AI774" s="2005"/>
      <c r="AJ774" s="2005"/>
      <c r="AK774" s="2005"/>
      <c r="AL774" s="2005"/>
      <c r="AM774" s="647"/>
      <c r="AN774" s="718"/>
      <c r="AO774" s="645" t="s">
        <v>554</v>
      </c>
      <c r="AP774" s="584">
        <v>3</v>
      </c>
      <c r="AT774" s="708"/>
      <c r="AU774" s="708"/>
      <c r="AV774" s="708"/>
      <c r="AW774" s="708"/>
      <c r="AX774" s="708"/>
      <c r="AY774" s="708"/>
      <c r="AZ774" s="708"/>
    </row>
    <row r="775" spans="1:81" s="604" customFormat="1" ht="13.7" customHeight="1">
      <c r="A775" s="584"/>
      <c r="B775" s="650"/>
      <c r="C775" s="975"/>
      <c r="D775" s="697"/>
      <c r="E775" s="1925"/>
      <c r="F775" s="1925"/>
      <c r="G775" s="1925"/>
      <c r="H775" s="1925"/>
      <c r="I775" s="1925"/>
      <c r="J775" s="1925"/>
      <c r="K775" s="1925"/>
      <c r="L775" s="1925"/>
      <c r="M775" s="1925"/>
      <c r="N775" s="1925"/>
      <c r="O775" s="1925"/>
      <c r="P775" s="1925"/>
      <c r="Q775" s="1925"/>
      <c r="R775" s="1925"/>
      <c r="S775" s="1925"/>
      <c r="T775" s="1925"/>
      <c r="U775" s="1925"/>
      <c r="V775" s="1925"/>
      <c r="W775" s="1925"/>
      <c r="X775" s="1925"/>
      <c r="Y775" s="1925"/>
      <c r="Z775" s="1925"/>
      <c r="AA775" s="1925"/>
      <c r="AB775" s="1925"/>
      <c r="AC775" s="1925"/>
      <c r="AD775" s="1925"/>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25"/>
      <c r="F776" s="1925"/>
      <c r="G776" s="1925"/>
      <c r="H776" s="1925"/>
      <c r="I776" s="1925"/>
      <c r="J776" s="1925"/>
      <c r="K776" s="1925"/>
      <c r="L776" s="1925"/>
      <c r="M776" s="1925"/>
      <c r="N776" s="1925"/>
      <c r="O776" s="1925"/>
      <c r="P776" s="1925"/>
      <c r="Q776" s="1925"/>
      <c r="R776" s="1925"/>
      <c r="S776" s="1925"/>
      <c r="T776" s="1925"/>
      <c r="U776" s="1925"/>
      <c r="V776" s="1925"/>
      <c r="W776" s="1925"/>
      <c r="X776" s="1925"/>
      <c r="Y776" s="1925"/>
      <c r="Z776" s="1925"/>
      <c r="AA776" s="1925"/>
      <c r="AB776" s="1925"/>
      <c r="AC776" s="1925"/>
      <c r="AD776" s="1925"/>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25"/>
      <c r="F777" s="1925"/>
      <c r="G777" s="1925"/>
      <c r="H777" s="1925"/>
      <c r="I777" s="1925"/>
      <c r="J777" s="1925"/>
      <c r="K777" s="1925"/>
      <c r="L777" s="1925"/>
      <c r="M777" s="1925"/>
      <c r="N777" s="1925"/>
      <c r="O777" s="1925"/>
      <c r="P777" s="1925"/>
      <c r="Q777" s="1925"/>
      <c r="R777" s="1925"/>
      <c r="S777" s="1925"/>
      <c r="T777" s="1925"/>
      <c r="U777" s="1925"/>
      <c r="V777" s="1925"/>
      <c r="W777" s="1925"/>
      <c r="X777" s="1925"/>
      <c r="Y777" s="1925"/>
      <c r="Z777" s="1925"/>
      <c r="AA777" s="1925"/>
      <c r="AB777" s="1925"/>
      <c r="AC777" s="1925"/>
      <c r="AD777" s="1925"/>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1511</v>
      </c>
      <c r="E779" s="971"/>
      <c r="F779" s="971"/>
      <c r="G779" s="971"/>
      <c r="H779" s="1949" t="s">
        <v>554</v>
      </c>
      <c r="I779" s="1949"/>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1561</v>
      </c>
      <c r="AJ781" s="1932">
        <f>VLOOKUP($H$779,$AO$773:$AP$774,2,FALSE)</f>
        <v>3</v>
      </c>
      <c r="AK781" s="1934"/>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1562</v>
      </c>
      <c r="AK783" s="1932">
        <f>IF(($AJ$610+$AJ$629+$AJ$641+$AJ$676+$AJ$700+$AJ$714+$AJ$726+$AJ$742+$AJ$754+$AJ$770+AJ781)&gt;10,10,($AJ$610+$AJ$629+$AJ$641+$AJ$676+$AJ$700+$AJ$714+$AJ$726+$AJ$742+$AJ$754+$AJ$770+AJ781))</f>
        <v>10</v>
      </c>
      <c r="AL783" s="1933"/>
      <c r="AM783" s="1934"/>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96" t="s">
        <v>1680</v>
      </c>
      <c r="B786" s="1997"/>
      <c r="C786" s="1997"/>
      <c r="D786" s="1997"/>
      <c r="E786" s="1997"/>
      <c r="F786" s="1997"/>
      <c r="G786" s="1997"/>
      <c r="H786" s="1997"/>
      <c r="I786" s="1997"/>
      <c r="J786" s="1997"/>
      <c r="K786" s="1997"/>
      <c r="L786" s="1997"/>
      <c r="M786" s="1997"/>
      <c r="N786" s="1997"/>
      <c r="O786" s="1997"/>
      <c r="P786" s="1997"/>
      <c r="Q786" s="1997"/>
      <c r="R786" s="1997"/>
      <c r="S786" s="1997"/>
      <c r="T786" s="1997"/>
      <c r="U786" s="1997"/>
      <c r="V786" s="1997"/>
      <c r="W786" s="1997"/>
      <c r="X786" s="1997"/>
      <c r="Y786" s="1997"/>
      <c r="Z786" s="1997"/>
      <c r="AA786" s="1997"/>
      <c r="AB786" s="1997"/>
      <c r="AC786" s="1997"/>
      <c r="AD786" s="1997"/>
      <c r="AE786" s="1997"/>
      <c r="AF786" s="1997"/>
      <c r="AG786" s="1997"/>
      <c r="AH786" s="1997"/>
      <c r="AI786" s="1997"/>
      <c r="AJ786" s="1997"/>
      <c r="AK786" s="1997"/>
      <c r="AL786" s="1997"/>
      <c r="AM786" s="1997"/>
    </row>
    <row r="787" spans="1:43">
      <c r="A787" s="1998"/>
      <c r="B787" s="1998"/>
      <c r="C787" s="1998"/>
      <c r="D787" s="1998"/>
      <c r="E787" s="1998"/>
      <c r="F787" s="1998"/>
      <c r="G787" s="1998"/>
      <c r="H787" s="1998"/>
      <c r="I787" s="1998"/>
      <c r="J787" s="1998"/>
      <c r="K787" s="1998"/>
      <c r="L787" s="1998"/>
      <c r="M787" s="1998"/>
      <c r="N787" s="1998"/>
      <c r="O787" s="1998"/>
      <c r="P787" s="1998"/>
      <c r="Q787" s="1998"/>
      <c r="R787" s="1998"/>
      <c r="S787" s="1998"/>
      <c r="T787" s="1998"/>
      <c r="U787" s="1998"/>
      <c r="V787" s="1998"/>
      <c r="W787" s="1998"/>
      <c r="X787" s="1998"/>
      <c r="Y787" s="1998"/>
      <c r="Z787" s="1998"/>
      <c r="AA787" s="1998"/>
      <c r="AB787" s="1998"/>
      <c r="AC787" s="1998"/>
      <c r="AD787" s="1998"/>
      <c r="AE787" s="1998"/>
      <c r="AF787" s="1998"/>
      <c r="AG787" s="1998"/>
      <c r="AH787" s="1998"/>
      <c r="AI787" s="1998"/>
      <c r="AJ787" s="1998"/>
      <c r="AK787" s="1998"/>
      <c r="AL787" s="1998"/>
      <c r="AM787" s="1998"/>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35"/>
      <c r="B789" s="1935"/>
      <c r="C789" s="1935"/>
      <c r="D789" s="1935"/>
      <c r="E789" s="1935"/>
      <c r="F789" s="1935"/>
      <c r="G789" s="1935"/>
      <c r="H789" s="1935"/>
      <c r="I789" s="1935"/>
      <c r="J789" s="1935"/>
      <c r="K789" s="1935"/>
      <c r="L789" s="1935"/>
      <c r="M789" s="1935"/>
      <c r="N789" s="1935"/>
      <c r="O789" s="1935"/>
      <c r="P789" s="1935"/>
      <c r="Q789" s="1935"/>
      <c r="R789" s="1935"/>
      <c r="S789" s="1935"/>
      <c r="T789" s="1935"/>
      <c r="U789" s="1935"/>
      <c r="V789" s="1935"/>
      <c r="W789" s="1935"/>
      <c r="X789" s="1935"/>
      <c r="Y789" s="1935"/>
      <c r="Z789" s="1935"/>
      <c r="AA789" s="1935"/>
      <c r="AB789" s="1935"/>
      <c r="AC789" s="1935"/>
      <c r="AD789" s="1935"/>
      <c r="AE789" s="1935"/>
      <c r="AF789" s="1935"/>
      <c r="AG789" s="1935"/>
      <c r="AH789" s="1935"/>
      <c r="AI789" s="1935"/>
      <c r="AJ789" s="1935"/>
      <c r="AK789" s="1935"/>
      <c r="AL789" s="1935"/>
      <c r="AM789" s="1935"/>
      <c r="AP789" s="850"/>
      <c r="AQ789" s="850"/>
    </row>
    <row r="790" spans="1:43">
      <c r="A790" s="1935"/>
      <c r="B790" s="1935"/>
      <c r="C790" s="1935"/>
      <c r="D790" s="1935"/>
      <c r="E790" s="1935"/>
      <c r="F790" s="1935"/>
      <c r="G790" s="1935"/>
      <c r="H790" s="1935"/>
      <c r="I790" s="1935"/>
      <c r="J790" s="1935"/>
      <c r="K790" s="1935"/>
      <c r="L790" s="1935"/>
      <c r="M790" s="1935"/>
      <c r="N790" s="1935"/>
      <c r="O790" s="1935"/>
      <c r="P790" s="1935"/>
      <c r="Q790" s="1935"/>
      <c r="R790" s="1935"/>
      <c r="S790" s="1935"/>
      <c r="T790" s="1935"/>
      <c r="U790" s="1935"/>
      <c r="V790" s="1935"/>
      <c r="W790" s="1935"/>
      <c r="X790" s="1935"/>
      <c r="Y790" s="1935"/>
      <c r="Z790" s="1935"/>
      <c r="AA790" s="1935"/>
      <c r="AB790" s="1935"/>
      <c r="AC790" s="1935"/>
      <c r="AD790" s="1935"/>
      <c r="AE790" s="1935"/>
      <c r="AF790" s="1935"/>
      <c r="AG790" s="1935"/>
      <c r="AH790" s="1935"/>
      <c r="AI790" s="1935"/>
      <c r="AJ790" s="1935"/>
      <c r="AK790" s="1935"/>
      <c r="AL790" s="1935"/>
      <c r="AM790" s="1935"/>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99" t="s">
        <v>1681</v>
      </c>
      <c r="U791" s="2000"/>
      <c r="V791" s="2000"/>
      <c r="W791" s="2000"/>
      <c r="X791" s="2000"/>
      <c r="Y791" s="2001"/>
      <c r="Z791" s="1999" t="s">
        <v>1682</v>
      </c>
      <c r="AA791" s="2000"/>
      <c r="AB791" s="2000"/>
      <c r="AC791" s="2000"/>
      <c r="AD791" s="2000"/>
      <c r="AE791" s="2001"/>
      <c r="AF791" s="1999" t="s">
        <v>1683</v>
      </c>
      <c r="AG791" s="2000"/>
      <c r="AH791" s="2000"/>
      <c r="AI791" s="2000"/>
      <c r="AJ791" s="2000"/>
      <c r="AK791" s="2001"/>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02"/>
      <c r="U792" s="2003"/>
      <c r="V792" s="2003"/>
      <c r="W792" s="2003"/>
      <c r="X792" s="2003"/>
      <c r="Y792" s="2004"/>
      <c r="Z792" s="2002"/>
      <c r="AA792" s="2003"/>
      <c r="AB792" s="2003"/>
      <c r="AC792" s="2003"/>
      <c r="AD792" s="2003"/>
      <c r="AE792" s="2004"/>
      <c r="AF792" s="2002"/>
      <c r="AG792" s="2003"/>
      <c r="AH792" s="2003"/>
      <c r="AI792" s="2003"/>
      <c r="AJ792" s="2003"/>
      <c r="AK792" s="2004"/>
      <c r="AL792" s="852"/>
      <c r="AM792" s="630"/>
      <c r="AO792" s="850"/>
      <c r="AP792" s="850"/>
      <c r="AQ792" s="850"/>
    </row>
    <row r="793" spans="1:43">
      <c r="A793" s="853" t="s">
        <v>767</v>
      </c>
      <c r="B793" s="1956" t="s">
        <v>1415</v>
      </c>
      <c r="C793" s="1956"/>
      <c r="D793" s="1956"/>
      <c r="E793" s="1956"/>
      <c r="F793" s="1956"/>
      <c r="G793" s="1956"/>
      <c r="H793" s="1956"/>
      <c r="I793" s="1956"/>
      <c r="J793" s="1956"/>
      <c r="K793" s="1956"/>
      <c r="L793" s="1956"/>
      <c r="M793" s="1956"/>
      <c r="N793" s="1956"/>
      <c r="O793" s="1956"/>
      <c r="P793" s="1956"/>
      <c r="Q793" s="1956"/>
      <c r="R793" s="1956"/>
      <c r="S793" s="1957"/>
      <c r="T793" s="1984">
        <f>AK56</f>
        <v>0</v>
      </c>
      <c r="U793" s="1960"/>
      <c r="V793" s="1960"/>
      <c r="W793" s="1960"/>
      <c r="X793" s="1960"/>
      <c r="Y793" s="1961"/>
      <c r="Z793" s="1959">
        <v>20</v>
      </c>
      <c r="AA793" s="1960"/>
      <c r="AB793" s="1960"/>
      <c r="AC793" s="1960"/>
      <c r="AD793" s="1960"/>
      <c r="AE793" s="1961"/>
      <c r="AF793" s="1945">
        <f>IF(T793&gt;Z793,Z793,T793)</f>
        <v>0</v>
      </c>
      <c r="AG793" s="1945"/>
      <c r="AH793" s="1945"/>
      <c r="AI793" s="1945"/>
      <c r="AJ793" s="1945"/>
      <c r="AK793" s="1945"/>
      <c r="AL793" s="852"/>
      <c r="AM793" s="630"/>
      <c r="AO793" s="850"/>
      <c r="AP793" s="850"/>
      <c r="AQ793" s="850"/>
    </row>
    <row r="794" spans="1:43">
      <c r="A794" s="853" t="s">
        <v>1653</v>
      </c>
      <c r="B794" s="1956" t="s">
        <v>1424</v>
      </c>
      <c r="C794" s="1956"/>
      <c r="D794" s="1956"/>
      <c r="E794" s="1956"/>
      <c r="F794" s="1956"/>
      <c r="G794" s="1956"/>
      <c r="H794" s="1956"/>
      <c r="I794" s="1956"/>
      <c r="J794" s="1956"/>
      <c r="K794" s="1956"/>
      <c r="L794" s="1956"/>
      <c r="M794" s="1956"/>
      <c r="N794" s="1956"/>
      <c r="O794" s="1956"/>
      <c r="P794" s="1956"/>
      <c r="Q794" s="1956"/>
      <c r="R794" s="1956"/>
      <c r="S794" s="1957"/>
      <c r="T794" s="1984">
        <f>AK78</f>
        <v>10</v>
      </c>
      <c r="U794" s="1960"/>
      <c r="V794" s="1960"/>
      <c r="W794" s="1960"/>
      <c r="X794" s="1960"/>
      <c r="Y794" s="1961"/>
      <c r="Z794" s="1959">
        <v>10</v>
      </c>
      <c r="AA794" s="1960"/>
      <c r="AB794" s="1960"/>
      <c r="AC794" s="1960"/>
      <c r="AD794" s="1960"/>
      <c r="AE794" s="1961"/>
      <c r="AF794" s="1945">
        <f>IF(T794&gt;Z794,Z794,T794)</f>
        <v>10</v>
      </c>
      <c r="AG794" s="1945"/>
      <c r="AH794" s="1945"/>
      <c r="AI794" s="1945"/>
      <c r="AJ794" s="1945"/>
      <c r="AK794" s="1945"/>
      <c r="AL794" s="852"/>
      <c r="AM794" s="630"/>
      <c r="AO794" s="850"/>
      <c r="AP794" s="850"/>
      <c r="AQ794" s="850"/>
    </row>
    <row r="795" spans="1:43">
      <c r="A795" s="853" t="s">
        <v>1662</v>
      </c>
      <c r="B795" s="1956" t="s">
        <v>1434</v>
      </c>
      <c r="C795" s="1956"/>
      <c r="D795" s="1956"/>
      <c r="E795" s="1956"/>
      <c r="F795" s="1956"/>
      <c r="G795" s="1956"/>
      <c r="H795" s="1956"/>
      <c r="I795" s="1956"/>
      <c r="J795" s="1956"/>
      <c r="K795" s="1956"/>
      <c r="L795" s="1956"/>
      <c r="M795" s="1956"/>
      <c r="N795" s="1956"/>
      <c r="O795" s="1956"/>
      <c r="P795" s="1956"/>
      <c r="Q795" s="1956"/>
      <c r="R795" s="1956"/>
      <c r="S795" s="1957"/>
      <c r="T795" s="1984">
        <f ca="1">AK103</f>
        <v>20</v>
      </c>
      <c r="U795" s="1960"/>
      <c r="V795" s="1960"/>
      <c r="W795" s="1960"/>
      <c r="X795" s="1960"/>
      <c r="Y795" s="1961"/>
      <c r="Z795" s="1959">
        <v>20</v>
      </c>
      <c r="AA795" s="1960"/>
      <c r="AB795" s="1960"/>
      <c r="AC795" s="1960"/>
      <c r="AD795" s="1960"/>
      <c r="AE795" s="1961"/>
      <c r="AF795" s="1945">
        <f ca="1">IF(T795&gt;Z795,Z795,T795)</f>
        <v>20</v>
      </c>
      <c r="AG795" s="1945"/>
      <c r="AH795" s="1945"/>
      <c r="AI795" s="1945"/>
      <c r="AJ795" s="1945"/>
      <c r="AK795" s="1945"/>
      <c r="AL795" s="852"/>
      <c r="AM795" s="630"/>
      <c r="AO795" s="850"/>
      <c r="AP795" s="850"/>
      <c r="AQ795" s="850"/>
    </row>
    <row r="796" spans="1:43">
      <c r="A796" s="853" t="s">
        <v>1684</v>
      </c>
      <c r="B796" s="1956" t="s">
        <v>1444</v>
      </c>
      <c r="C796" s="1956"/>
      <c r="D796" s="1956"/>
      <c r="E796" s="1956"/>
      <c r="F796" s="1956"/>
      <c r="G796" s="1956"/>
      <c r="H796" s="1956"/>
      <c r="I796" s="1956"/>
      <c r="J796" s="1956"/>
      <c r="K796" s="1956"/>
      <c r="L796" s="1956"/>
      <c r="M796" s="1956"/>
      <c r="N796" s="1956"/>
      <c r="O796" s="1956"/>
      <c r="P796" s="1956"/>
      <c r="Q796" s="1956"/>
      <c r="R796" s="1956"/>
      <c r="S796" s="1957"/>
      <c r="T796" s="1984">
        <f>AK137</f>
        <v>10</v>
      </c>
      <c r="U796" s="1960"/>
      <c r="V796" s="1960"/>
      <c r="W796" s="1960"/>
      <c r="X796" s="1960"/>
      <c r="Y796" s="1961"/>
      <c r="Z796" s="1959">
        <v>10</v>
      </c>
      <c r="AA796" s="1960"/>
      <c r="AB796" s="1960"/>
      <c r="AC796" s="1960"/>
      <c r="AD796" s="1960"/>
      <c r="AE796" s="1961"/>
      <c r="AF796" s="1945">
        <f>IF(T796&gt;Z796,Z796,T796)</f>
        <v>10</v>
      </c>
      <c r="AG796" s="1945"/>
      <c r="AH796" s="1945"/>
      <c r="AI796" s="1945"/>
      <c r="AJ796" s="1945"/>
      <c r="AK796" s="1945"/>
      <c r="AL796" s="852"/>
      <c r="AM796" s="630"/>
      <c r="AO796" s="850"/>
      <c r="AP796" s="850"/>
      <c r="AQ796" s="850"/>
    </row>
    <row r="797" spans="1:43">
      <c r="A797" s="854" t="s">
        <v>1685</v>
      </c>
      <c r="B797" s="1956" t="s">
        <v>1686</v>
      </c>
      <c r="C797" s="1956"/>
      <c r="D797" s="1956"/>
      <c r="E797" s="1956"/>
      <c r="F797" s="1956"/>
      <c r="G797" s="1956"/>
      <c r="H797" s="1956"/>
      <c r="I797" s="1956"/>
      <c r="J797" s="1956"/>
      <c r="K797" s="1956"/>
      <c r="L797" s="1956"/>
      <c r="M797" s="1956"/>
      <c r="N797" s="1956"/>
      <c r="O797" s="1956"/>
      <c r="P797" s="1956"/>
      <c r="Q797" s="1956"/>
      <c r="R797" s="1956"/>
      <c r="S797" s="1957"/>
      <c r="T797" s="1958">
        <f>SUM(T798:Y799)</f>
        <v>10</v>
      </c>
      <c r="U797" s="1958"/>
      <c r="V797" s="1958"/>
      <c r="W797" s="1958"/>
      <c r="X797" s="1958"/>
      <c r="Y797" s="1958"/>
      <c r="Z797" s="1945">
        <v>10</v>
      </c>
      <c r="AA797" s="1945"/>
      <c r="AB797" s="1945"/>
      <c r="AC797" s="1945"/>
      <c r="AD797" s="1945"/>
      <c r="AE797" s="1945"/>
      <c r="AF797" s="1945">
        <f>IF(T797&gt;Z797,Z797,T797)</f>
        <v>10</v>
      </c>
      <c r="AG797" s="1945"/>
      <c r="AH797" s="1945"/>
      <c r="AI797" s="1945"/>
      <c r="AJ797" s="1945"/>
      <c r="AK797" s="1945"/>
      <c r="AL797" s="852"/>
      <c r="AM797" s="630"/>
    </row>
    <row r="798" spans="1:43">
      <c r="A798" s="569"/>
      <c r="B798" s="635"/>
      <c r="C798" s="1962" t="s">
        <v>1687</v>
      </c>
      <c r="D798" s="1962"/>
      <c r="E798" s="1962"/>
      <c r="F798" s="1962"/>
      <c r="G798" s="1962"/>
      <c r="H798" s="1962"/>
      <c r="I798" s="1962"/>
      <c r="J798" s="1962"/>
      <c r="K798" s="1962"/>
      <c r="L798" s="1962"/>
      <c r="M798" s="1962"/>
      <c r="N798" s="1962"/>
      <c r="O798" s="1962"/>
      <c r="P798" s="1962"/>
      <c r="Q798" s="1962"/>
      <c r="R798" s="1962"/>
      <c r="S798" s="1963"/>
      <c r="T798" s="1964">
        <f>AJ155</f>
        <v>7</v>
      </c>
      <c r="U798" s="1964"/>
      <c r="V798" s="1964"/>
      <c r="W798" s="1964"/>
      <c r="X798" s="1964"/>
      <c r="Y798" s="1964"/>
      <c r="Z798" s="1965">
        <v>7</v>
      </c>
      <c r="AA798" s="1965"/>
      <c r="AB798" s="1965"/>
      <c r="AC798" s="1965"/>
      <c r="AD798" s="1965"/>
      <c r="AE798" s="1965"/>
      <c r="AF798" s="1966"/>
      <c r="AG798" s="1966"/>
      <c r="AH798" s="1966"/>
      <c r="AI798" s="1966"/>
      <c r="AJ798" s="1966"/>
      <c r="AK798" s="1966"/>
      <c r="AL798" s="852"/>
      <c r="AM798" s="630"/>
    </row>
    <row r="799" spans="1:43">
      <c r="A799" s="634"/>
      <c r="B799" s="635"/>
      <c r="C799" s="1962" t="s">
        <v>1688</v>
      </c>
      <c r="D799" s="1962"/>
      <c r="E799" s="1962"/>
      <c r="F799" s="1962"/>
      <c r="G799" s="1962"/>
      <c r="H799" s="1962"/>
      <c r="I799" s="1962"/>
      <c r="J799" s="1962"/>
      <c r="K799" s="1962"/>
      <c r="L799" s="1962"/>
      <c r="M799" s="1962"/>
      <c r="N799" s="1962"/>
      <c r="O799" s="1962"/>
      <c r="P799" s="1962"/>
      <c r="Q799" s="1962"/>
      <c r="R799" s="1962"/>
      <c r="S799" s="1963"/>
      <c r="T799" s="1964">
        <f>AJ169</f>
        <v>3</v>
      </c>
      <c r="U799" s="1964"/>
      <c r="V799" s="1964"/>
      <c r="W799" s="1964"/>
      <c r="X799" s="1964"/>
      <c r="Y799" s="1964"/>
      <c r="Z799" s="1965">
        <v>3</v>
      </c>
      <c r="AA799" s="1965"/>
      <c r="AB799" s="1965"/>
      <c r="AC799" s="1965"/>
      <c r="AD799" s="1965"/>
      <c r="AE799" s="1965"/>
      <c r="AF799" s="1966"/>
      <c r="AG799" s="1966"/>
      <c r="AH799" s="1966"/>
      <c r="AI799" s="1966"/>
      <c r="AJ799" s="1966"/>
      <c r="AK799" s="1966"/>
      <c r="AL799" s="852"/>
      <c r="AM799" s="630"/>
      <c r="AO799" s="584"/>
    </row>
    <row r="800" spans="1:43">
      <c r="A800" s="854" t="s">
        <v>1472</v>
      </c>
      <c r="B800" s="1956" t="s">
        <v>1689</v>
      </c>
      <c r="C800" s="1956"/>
      <c r="D800" s="1956"/>
      <c r="E800" s="1956"/>
      <c r="F800" s="1956"/>
      <c r="G800" s="1956"/>
      <c r="H800" s="1956"/>
      <c r="I800" s="1956"/>
      <c r="J800" s="1956"/>
      <c r="K800" s="1956"/>
      <c r="L800" s="1956"/>
      <c r="M800" s="1956"/>
      <c r="N800" s="1956"/>
      <c r="O800" s="1956"/>
      <c r="P800" s="1956"/>
      <c r="Q800" s="1956"/>
      <c r="R800" s="1956"/>
      <c r="S800" s="1957"/>
      <c r="T800" s="1958">
        <f>AK180</f>
        <v>10</v>
      </c>
      <c r="U800" s="1958"/>
      <c r="V800" s="1958"/>
      <c r="W800" s="1958"/>
      <c r="X800" s="1958"/>
      <c r="Y800" s="1958"/>
      <c r="Z800" s="1945">
        <v>10</v>
      </c>
      <c r="AA800" s="1945"/>
      <c r="AB800" s="1945"/>
      <c r="AC800" s="1945"/>
      <c r="AD800" s="1945"/>
      <c r="AE800" s="1945"/>
      <c r="AF800" s="1945">
        <f>IF(T800&gt;Z800,Z800,T800)</f>
        <v>10</v>
      </c>
      <c r="AG800" s="1945"/>
      <c r="AH800" s="1945"/>
      <c r="AI800" s="1945"/>
      <c r="AJ800" s="1945"/>
      <c r="AK800" s="1945"/>
      <c r="AL800" s="852"/>
      <c r="AM800" s="630"/>
    </row>
    <row r="801" spans="1:81">
      <c r="A801" s="853" t="s">
        <v>1481</v>
      </c>
      <c r="B801" s="1956" t="s">
        <v>1482</v>
      </c>
      <c r="C801" s="1956"/>
      <c r="D801" s="1956"/>
      <c r="E801" s="1956"/>
      <c r="F801" s="1956"/>
      <c r="G801" s="1956"/>
      <c r="H801" s="1956"/>
      <c r="I801" s="1956"/>
      <c r="J801" s="1956"/>
      <c r="K801" s="1956"/>
      <c r="L801" s="1956"/>
      <c r="M801" s="1956"/>
      <c r="N801" s="1956"/>
      <c r="O801" s="1956"/>
      <c r="P801" s="1956"/>
      <c r="Q801" s="1956"/>
      <c r="R801" s="1956"/>
      <c r="S801" s="1957"/>
      <c r="T801" s="1958">
        <f>AK262</f>
        <v>8</v>
      </c>
      <c r="U801" s="1958"/>
      <c r="V801" s="1958"/>
      <c r="W801" s="1958"/>
      <c r="X801" s="1958"/>
      <c r="Y801" s="1958"/>
      <c r="Z801" s="1959">
        <v>8</v>
      </c>
      <c r="AA801" s="1960"/>
      <c r="AB801" s="1960"/>
      <c r="AC801" s="1960"/>
      <c r="AD801" s="1960"/>
      <c r="AE801" s="1961"/>
      <c r="AF801" s="1945">
        <f>IF(T801&gt;Z801,Z801,T801)</f>
        <v>8</v>
      </c>
      <c r="AG801" s="1945"/>
      <c r="AH801" s="1945"/>
      <c r="AI801" s="1945"/>
      <c r="AJ801" s="1945"/>
      <c r="AK801" s="1945"/>
      <c r="AL801" s="852"/>
      <c r="AM801" s="630"/>
    </row>
    <row r="802" spans="1:81" s="568" customFormat="1" hidden="1">
      <c r="A802" s="854" t="s">
        <v>598</v>
      </c>
      <c r="B802" s="1956" t="s">
        <v>1690</v>
      </c>
      <c r="C802" s="1956"/>
      <c r="D802" s="1956"/>
      <c r="E802" s="1956"/>
      <c r="F802" s="1956"/>
      <c r="G802" s="1956"/>
      <c r="H802" s="1956"/>
      <c r="I802" s="1956"/>
      <c r="J802" s="1956"/>
      <c r="K802" s="1956"/>
      <c r="L802" s="1956"/>
      <c r="M802" s="1956"/>
      <c r="N802" s="1956"/>
      <c r="O802" s="1956"/>
      <c r="P802" s="1956"/>
      <c r="Q802" s="1956"/>
      <c r="R802" s="1956"/>
      <c r="S802" s="1957"/>
      <c r="T802" s="1958">
        <f>IF(AK524&gt;5,5,AK524)</f>
        <v>0</v>
      </c>
      <c r="U802" s="1958"/>
      <c r="V802" s="1958"/>
      <c r="W802" s="1958"/>
      <c r="X802" s="1958"/>
      <c r="Y802" s="1958"/>
      <c r="Z802" s="1945">
        <v>5</v>
      </c>
      <c r="AA802" s="1945"/>
      <c r="AB802" s="1945"/>
      <c r="AC802" s="1945"/>
      <c r="AD802" s="1945"/>
      <c r="AE802" s="1945"/>
      <c r="AF802" s="1945">
        <f>IF(T802&gt;Z802,5,T802)</f>
        <v>0</v>
      </c>
      <c r="AG802" s="1945"/>
      <c r="AH802" s="1945"/>
      <c r="AI802" s="1945"/>
      <c r="AJ802" s="1945"/>
      <c r="AK802" s="1945"/>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1487</v>
      </c>
      <c r="B803" s="1956" t="s">
        <v>1691</v>
      </c>
      <c r="C803" s="1956"/>
      <c r="D803" s="1956"/>
      <c r="E803" s="1956"/>
      <c r="F803" s="1956"/>
      <c r="G803" s="1956"/>
      <c r="H803" s="1956"/>
      <c r="I803" s="1956"/>
      <c r="J803" s="1956"/>
      <c r="K803" s="1956"/>
      <c r="L803" s="1956"/>
      <c r="M803" s="1956"/>
      <c r="N803" s="1956"/>
      <c r="O803" s="1956"/>
      <c r="P803" s="1956"/>
      <c r="Q803" s="1956"/>
      <c r="R803" s="1956"/>
      <c r="S803" s="1957"/>
      <c r="T803" s="1958">
        <f>AK274</f>
        <v>10</v>
      </c>
      <c r="U803" s="1958"/>
      <c r="V803" s="1958"/>
      <c r="W803" s="1958"/>
      <c r="X803" s="1958"/>
      <c r="Y803" s="1958"/>
      <c r="Z803" s="1945">
        <v>10</v>
      </c>
      <c r="AA803" s="1945"/>
      <c r="AB803" s="1945"/>
      <c r="AC803" s="1945"/>
      <c r="AD803" s="1945"/>
      <c r="AE803" s="1945"/>
      <c r="AF803" s="1967">
        <f>IF(T803&gt;Z803,Z803,T803)</f>
        <v>10</v>
      </c>
      <c r="AG803" s="1968"/>
      <c r="AH803" s="1968"/>
      <c r="AI803" s="1968"/>
      <c r="AJ803" s="1968"/>
      <c r="AK803" s="1969"/>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1491</v>
      </c>
      <c r="B804" s="1956" t="s">
        <v>1492</v>
      </c>
      <c r="C804" s="1956"/>
      <c r="D804" s="1956"/>
      <c r="E804" s="1956"/>
      <c r="F804" s="1956"/>
      <c r="G804" s="1956"/>
      <c r="H804" s="1956"/>
      <c r="I804" s="1956"/>
      <c r="J804" s="1956"/>
      <c r="K804" s="1956"/>
      <c r="L804" s="1956"/>
      <c r="M804" s="1956"/>
      <c r="N804" s="1956"/>
      <c r="O804" s="1956"/>
      <c r="P804" s="1956"/>
      <c r="Q804" s="1956"/>
      <c r="R804" s="1956"/>
      <c r="S804" s="1957"/>
      <c r="T804" s="1958">
        <f>AK327</f>
        <v>10</v>
      </c>
      <c r="U804" s="1958"/>
      <c r="V804" s="1958"/>
      <c r="W804" s="1958"/>
      <c r="X804" s="1958"/>
      <c r="Y804" s="1958"/>
      <c r="Z804" s="1967">
        <v>10</v>
      </c>
      <c r="AA804" s="1968"/>
      <c r="AB804" s="1968"/>
      <c r="AC804" s="1968"/>
      <c r="AD804" s="1968"/>
      <c r="AE804" s="1969"/>
      <c r="AF804" s="1967">
        <f>IF(T804&gt;Z804,Z804,T804)</f>
        <v>10</v>
      </c>
      <c r="AG804" s="1968"/>
      <c r="AH804" s="1968"/>
      <c r="AI804" s="1968"/>
      <c r="AJ804" s="1968"/>
      <c r="AK804" s="1969"/>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1692</v>
      </c>
      <c r="D805" s="857"/>
      <c r="E805" s="857"/>
      <c r="F805" s="857"/>
      <c r="G805" s="857"/>
      <c r="H805" s="857"/>
      <c r="I805" s="857"/>
      <c r="J805" s="857"/>
      <c r="K805" s="857"/>
      <c r="L805" s="857"/>
      <c r="M805" s="857"/>
      <c r="N805" s="857"/>
      <c r="O805" s="857"/>
      <c r="P805" s="857"/>
      <c r="Q805" s="857"/>
      <c r="R805" s="855"/>
      <c r="S805" s="858"/>
      <c r="T805" s="1964">
        <f>AK327</f>
        <v>10</v>
      </c>
      <c r="U805" s="1964"/>
      <c r="V805" s="1964"/>
      <c r="W805" s="1964"/>
      <c r="X805" s="1964"/>
      <c r="Y805" s="1964"/>
      <c r="Z805" s="1932">
        <v>20</v>
      </c>
      <c r="AA805" s="1933"/>
      <c r="AB805" s="1933"/>
      <c r="AC805" s="1933"/>
      <c r="AD805" s="1933"/>
      <c r="AE805" s="1934"/>
      <c r="AF805" s="1966"/>
      <c r="AG805" s="1966"/>
      <c r="AH805" s="1966"/>
      <c r="AI805" s="1966"/>
      <c r="AJ805" s="1966"/>
      <c r="AK805" s="1966"/>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1564</v>
      </c>
      <c r="B806" s="1956" t="s">
        <v>857</v>
      </c>
      <c r="C806" s="1956"/>
      <c r="D806" s="1956"/>
      <c r="E806" s="1956"/>
      <c r="F806" s="1956"/>
      <c r="G806" s="1956"/>
      <c r="H806" s="1956"/>
      <c r="I806" s="1956"/>
      <c r="J806" s="1956"/>
      <c r="K806" s="1956"/>
      <c r="L806" s="1956"/>
      <c r="M806" s="1956"/>
      <c r="N806" s="1956"/>
      <c r="O806" s="1956"/>
      <c r="P806" s="1956"/>
      <c r="Q806" s="1956"/>
      <c r="R806" s="1956"/>
      <c r="S806" s="1957"/>
      <c r="T806" s="1958">
        <f>AK458</f>
        <v>10</v>
      </c>
      <c r="U806" s="1958"/>
      <c r="V806" s="1958"/>
      <c r="W806" s="1958"/>
      <c r="X806" s="1958"/>
      <c r="Y806" s="1958"/>
      <c r="Z806" s="1967">
        <v>10</v>
      </c>
      <c r="AA806" s="1968"/>
      <c r="AB806" s="1968"/>
      <c r="AC806" s="1968"/>
      <c r="AD806" s="1968"/>
      <c r="AE806" s="1969"/>
      <c r="AF806" s="1945">
        <f>IF(T806&gt;Z806,Z806,T806)</f>
        <v>10</v>
      </c>
      <c r="AG806" s="1945"/>
      <c r="AH806" s="1945"/>
      <c r="AI806" s="1945"/>
      <c r="AJ806" s="1945"/>
      <c r="AK806" s="1945"/>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1670</v>
      </c>
      <c r="B807" s="1956" t="s">
        <v>1671</v>
      </c>
      <c r="C807" s="1956"/>
      <c r="D807" s="1956"/>
      <c r="E807" s="1956"/>
      <c r="F807" s="1956"/>
      <c r="G807" s="1956"/>
      <c r="H807" s="1956"/>
      <c r="I807" s="1956"/>
      <c r="J807" s="1956"/>
      <c r="K807" s="1956"/>
      <c r="L807" s="1956"/>
      <c r="M807" s="1956"/>
      <c r="N807" s="1956"/>
      <c r="O807" s="1956"/>
      <c r="P807" s="1956"/>
      <c r="Q807" s="1956"/>
      <c r="R807" s="1956"/>
      <c r="S807" s="1957"/>
      <c r="T807" s="1958">
        <f>AK548</f>
        <v>12</v>
      </c>
      <c r="U807" s="1958"/>
      <c r="V807" s="1958"/>
      <c r="W807" s="1958"/>
      <c r="X807" s="1958"/>
      <c r="Y807" s="1958"/>
      <c r="Z807" s="1967">
        <v>12</v>
      </c>
      <c r="AA807" s="1968"/>
      <c r="AB807" s="1968"/>
      <c r="AC807" s="1968"/>
      <c r="AD807" s="1968"/>
      <c r="AE807" s="1969"/>
      <c r="AF807" s="1945">
        <f>IF(T807&gt;Z807,Z807,T807)</f>
        <v>12</v>
      </c>
      <c r="AG807" s="1945"/>
      <c r="AH807" s="1945"/>
      <c r="AI807" s="1945"/>
      <c r="AJ807" s="1945"/>
      <c r="AK807" s="1945"/>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2335</v>
      </c>
      <c r="B808" s="1956" t="s">
        <v>1693</v>
      </c>
      <c r="C808" s="1956"/>
      <c r="D808" s="1956"/>
      <c r="E808" s="1956"/>
      <c r="F808" s="1956"/>
      <c r="G808" s="1956"/>
      <c r="H808" s="1956"/>
      <c r="I808" s="1956"/>
      <c r="J808" s="1956"/>
      <c r="K808" s="1956"/>
      <c r="L808" s="1956"/>
      <c r="M808" s="1956"/>
      <c r="N808" s="1956"/>
      <c r="O808" s="1956"/>
      <c r="P808" s="1956"/>
      <c r="Q808" s="1956"/>
      <c r="R808" s="1956"/>
      <c r="S808" s="1957"/>
      <c r="T808" s="1958">
        <f>AK783</f>
        <v>10</v>
      </c>
      <c r="U808" s="1958"/>
      <c r="V808" s="1958"/>
      <c r="W808" s="1958"/>
      <c r="X808" s="1958"/>
      <c r="Y808" s="1958"/>
      <c r="Z808" s="1967">
        <v>10</v>
      </c>
      <c r="AA808" s="1968"/>
      <c r="AB808" s="1968"/>
      <c r="AC808" s="1968"/>
      <c r="AD808" s="1968"/>
      <c r="AE808" s="1969"/>
      <c r="AF808" s="1945">
        <f>IF(T808&gt;Z808,Z808,T808)</f>
        <v>10</v>
      </c>
      <c r="AG808" s="1945"/>
      <c r="AH808" s="1945"/>
      <c r="AI808" s="1945"/>
      <c r="AJ808" s="1945"/>
      <c r="AK808" s="1945"/>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70" t="s">
        <v>1694</v>
      </c>
      <c r="B809" s="1956"/>
      <c r="C809" s="1956"/>
      <c r="D809" s="1956"/>
      <c r="E809" s="1956"/>
      <c r="F809" s="1956"/>
      <c r="G809" s="1956"/>
      <c r="H809" s="1956"/>
      <c r="I809" s="1956"/>
      <c r="J809" s="1956"/>
      <c r="K809" s="1956"/>
      <c r="L809" s="1956"/>
      <c r="M809" s="1956"/>
      <c r="N809" s="1956"/>
      <c r="O809" s="1956"/>
      <c r="P809" s="1956"/>
      <c r="Q809" s="1956"/>
      <c r="R809" s="1956"/>
      <c r="S809" s="1957"/>
      <c r="T809" s="1971"/>
      <c r="U809" s="1971"/>
      <c r="V809" s="1971"/>
      <c r="W809" s="1971"/>
      <c r="X809" s="1971"/>
      <c r="Y809" s="1971"/>
      <c r="Z809" s="1965" t="s">
        <v>1695</v>
      </c>
      <c r="AA809" s="1965"/>
      <c r="AB809" s="1965"/>
      <c r="AC809" s="1965"/>
      <c r="AD809" s="1965"/>
      <c r="AE809" s="1965"/>
      <c r="AF809" s="1967">
        <f>IF(T809&gt;0,T809,0)</f>
        <v>0</v>
      </c>
      <c r="AG809" s="1968"/>
      <c r="AH809" s="1968"/>
      <c r="AI809" s="1968"/>
      <c r="AJ809" s="1968"/>
      <c r="AK809" s="1969"/>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1972" t="s">
        <v>1696</v>
      </c>
      <c r="B810" s="1973"/>
      <c r="C810" s="1973"/>
      <c r="D810" s="1973"/>
      <c r="E810" s="1973"/>
      <c r="F810" s="1973"/>
      <c r="G810" s="1973"/>
      <c r="H810" s="1973"/>
      <c r="I810" s="1973"/>
      <c r="J810" s="1973"/>
      <c r="K810" s="1973"/>
      <c r="L810" s="1973"/>
      <c r="M810" s="1973"/>
      <c r="N810" s="1973"/>
      <c r="O810" s="1973"/>
      <c r="P810" s="1973"/>
      <c r="Q810" s="1973"/>
      <c r="R810" s="1973"/>
      <c r="S810" s="1973"/>
      <c r="T810" s="1973"/>
      <c r="U810" s="1973"/>
      <c r="V810" s="1973"/>
      <c r="W810" s="1973"/>
      <c r="X810" s="1973"/>
      <c r="Y810" s="1973"/>
      <c r="Z810" s="1973"/>
      <c r="AA810" s="1973"/>
      <c r="AB810" s="1973"/>
      <c r="AC810" s="1973"/>
      <c r="AD810" s="1973"/>
      <c r="AE810" s="1974"/>
      <c r="AF810" s="1978">
        <f ca="1">SUM(AF793:AK808)-AF809</f>
        <v>120</v>
      </c>
      <c r="AG810" s="1979"/>
      <c r="AH810" s="1979"/>
      <c r="AI810" s="1979"/>
      <c r="AJ810" s="1979"/>
      <c r="AK810" s="1980"/>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1975"/>
      <c r="B811" s="1976"/>
      <c r="C811" s="1976"/>
      <c r="D811" s="1976"/>
      <c r="E811" s="1976"/>
      <c r="F811" s="1976"/>
      <c r="G811" s="1976"/>
      <c r="H811" s="1976"/>
      <c r="I811" s="1976"/>
      <c r="J811" s="1976"/>
      <c r="K811" s="1976"/>
      <c r="L811" s="1976"/>
      <c r="M811" s="1976"/>
      <c r="N811" s="1976"/>
      <c r="O811" s="1976"/>
      <c r="P811" s="1976"/>
      <c r="Q811" s="1976"/>
      <c r="R811" s="1976"/>
      <c r="S811" s="1976"/>
      <c r="T811" s="1976"/>
      <c r="U811" s="1976"/>
      <c r="V811" s="1976"/>
      <c r="W811" s="1976"/>
      <c r="X811" s="1976"/>
      <c r="Y811" s="1976"/>
      <c r="Z811" s="1976"/>
      <c r="AA811" s="1976"/>
      <c r="AB811" s="1976"/>
      <c r="AC811" s="1976"/>
      <c r="AD811" s="1976"/>
      <c r="AE811" s="1977"/>
      <c r="AF811" s="1981"/>
      <c r="AG811" s="1982"/>
      <c r="AH811" s="1982"/>
      <c r="AI811" s="1982"/>
      <c r="AJ811" s="1982"/>
      <c r="AK811" s="1983"/>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pezxq3uzqPLPKPgK/GnL/FBn0FOwhK8gw6AQbNxtimQIhinE4tUZko7PYiNEO/4NF/TvyZJkGRUFRKULnKNguw==" saltValue="FJr3DHD5XwNxFmwi20loiQ==" spinCount="100000" sheet="1" objects="1" scenarios="1"/>
  <mergeCells count="496">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I213:K213"/>
    <mergeCell ref="B192:AB192"/>
    <mergeCell ref="B193:AB193"/>
    <mergeCell ref="B218:G218"/>
    <mergeCell ref="AB214:AG214"/>
    <mergeCell ref="I220:K220"/>
    <mergeCell ref="I221:K221"/>
    <mergeCell ref="I222:K222"/>
    <mergeCell ref="N212:R212"/>
    <mergeCell ref="N213:R213"/>
    <mergeCell ref="B190:AB190"/>
    <mergeCell ref="B191:AB191"/>
    <mergeCell ref="AD196:AJ196"/>
    <mergeCell ref="AD195:AJ195"/>
    <mergeCell ref="AD194:AJ194"/>
    <mergeCell ref="AD193:AJ193"/>
    <mergeCell ref="AD192:AJ192"/>
    <mergeCell ref="AD191:AJ191"/>
    <mergeCell ref="B212:G212"/>
    <mergeCell ref="I212:K212"/>
    <mergeCell ref="I211:K211"/>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94:AB194"/>
    <mergeCell ref="B195:AB195"/>
    <mergeCell ref="B196:AB196"/>
    <mergeCell ref="AB243:AG243"/>
    <mergeCell ref="AB245:AG245"/>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B104" workbookViewId="0">
      <selection activeCell="G113" sqref="G113:H115"/>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64" t="s">
        <v>1697</v>
      </c>
      <c r="B1" s="2164"/>
      <c r="C1" s="2164"/>
      <c r="D1" s="2164"/>
      <c r="E1" s="2164"/>
      <c r="F1" s="2164"/>
      <c r="G1" s="2164"/>
      <c r="H1" s="2164"/>
      <c r="I1" s="2164"/>
      <c r="J1" s="2164"/>
    </row>
    <row r="2" spans="1:13" ht="15" customHeight="1" thickBot="1">
      <c r="A2" s="1081"/>
      <c r="B2" s="1081"/>
      <c r="I2" s="1082"/>
      <c r="K2" s="1083"/>
    </row>
    <row r="3" spans="1:13" s="1086" customFormat="1" ht="20.100000000000001" customHeight="1">
      <c r="A3" s="1140"/>
      <c r="B3" s="1141"/>
      <c r="C3" s="1142"/>
      <c r="D3" s="1147"/>
      <c r="E3" s="1142"/>
      <c r="F3" s="1143" t="s">
        <v>2300</v>
      </c>
      <c r="G3" s="1142"/>
      <c r="H3" s="1144">
        <f>E16</f>
        <v>54016788</v>
      </c>
      <c r="I3" s="1145"/>
    </row>
    <row r="4" spans="1:13" s="1086" customFormat="1" ht="20.100000000000001" customHeight="1">
      <c r="B4" s="1134"/>
      <c r="D4" s="1148"/>
      <c r="F4" s="1132" t="s">
        <v>2302</v>
      </c>
      <c r="G4" s="1131" t="s">
        <v>2301</v>
      </c>
      <c r="H4" s="1133">
        <f>I16</f>
        <v>65479970.354084969</v>
      </c>
      <c r="I4" s="1135"/>
      <c r="K4" s="1090"/>
    </row>
    <row r="5" spans="1:13" s="1086" customFormat="1" ht="20.100000000000001" customHeight="1" thickBot="1">
      <c r="B5" s="1136"/>
      <c r="C5" s="1137"/>
      <c r="D5" s="1149"/>
      <c r="E5" s="1138"/>
      <c r="F5" s="1149" t="s">
        <v>2242</v>
      </c>
      <c r="G5" s="1150"/>
      <c r="H5" s="1146">
        <f>H3/H4</f>
        <v>0.82493604850311542</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65" t="s">
        <v>2240</v>
      </c>
      <c r="C8" s="2166"/>
      <c r="D8" s="2166"/>
      <c r="E8" s="2167"/>
      <c r="G8" s="2168" t="s">
        <v>2241</v>
      </c>
      <c r="H8" s="2169"/>
      <c r="I8" s="2170"/>
      <c r="K8" s="1092"/>
    </row>
    <row r="9" spans="1:13" ht="15" customHeight="1">
      <c r="A9" s="1081"/>
      <c r="B9" s="2159" t="s">
        <v>2279</v>
      </c>
      <c r="C9" s="2159"/>
      <c r="D9" s="2159"/>
      <c r="E9" s="1094">
        <f>G31</f>
        <v>8680000</v>
      </c>
      <c r="G9" s="2162" t="s">
        <v>2277</v>
      </c>
      <c r="H9" s="2162"/>
      <c r="I9" s="1095">
        <f>Application!AM554</f>
        <v>52724987</v>
      </c>
      <c r="K9" s="1096"/>
      <c r="M9" s="1097"/>
    </row>
    <row r="10" spans="1:13" ht="15" customHeight="1" thickBot="1">
      <c r="A10" s="1081"/>
      <c r="B10" s="2159" t="s">
        <v>2280</v>
      </c>
      <c r="C10" s="2159"/>
      <c r="D10" s="2159"/>
      <c r="E10" s="1095">
        <f>G40</f>
        <v>30475188</v>
      </c>
      <c r="G10" s="2162" t="s">
        <v>2243</v>
      </c>
      <c r="H10" s="2162"/>
      <c r="I10" s="1182">
        <f>'Basis &amp; Credits'!AB78</f>
        <v>29208650</v>
      </c>
      <c r="M10" s="1097"/>
    </row>
    <row r="11" spans="1:13" ht="15" customHeight="1">
      <c r="A11" s="1098"/>
      <c r="B11" s="2159" t="s">
        <v>2281</v>
      </c>
      <c r="C11" s="2159"/>
      <c r="D11" s="2159"/>
      <c r="E11" s="1095">
        <f>G49</f>
        <v>40000</v>
      </c>
      <c r="G11" s="2162" t="s">
        <v>2292</v>
      </c>
      <c r="H11" s="2162"/>
      <c r="I11" s="1181">
        <f>I9+I10</f>
        <v>81933637</v>
      </c>
      <c r="M11" s="1097"/>
    </row>
    <row r="12" spans="1:13" ht="15" customHeight="1">
      <c r="A12" s="1084"/>
      <c r="B12" s="2159" t="s">
        <v>2282</v>
      </c>
      <c r="C12" s="2159"/>
      <c r="D12" s="2159"/>
      <c r="E12" s="1095">
        <f>G58</f>
        <v>760000</v>
      </c>
      <c r="G12" s="1183" t="s">
        <v>2317</v>
      </c>
      <c r="H12" s="1184"/>
      <c r="M12" s="1097"/>
    </row>
    <row r="13" spans="1:13" ht="15" customHeight="1">
      <c r="A13" s="1081"/>
      <c r="B13" s="2159" t="s">
        <v>2283</v>
      </c>
      <c r="C13" s="2159"/>
      <c r="D13" s="2159"/>
      <c r="E13" s="1100">
        <f>G83</f>
        <v>10589600</v>
      </c>
      <c r="G13" s="2163" t="s">
        <v>139</v>
      </c>
      <c r="H13" s="2163"/>
      <c r="I13" s="1099">
        <f>15%*(AND(G111="Yes",G113&lt;&gt;""))</f>
        <v>0.15</v>
      </c>
      <c r="M13" s="1097"/>
    </row>
    <row r="14" spans="1:13" ht="15" customHeight="1">
      <c r="A14" s="1081"/>
      <c r="B14" s="2159" t="s">
        <v>2284</v>
      </c>
      <c r="C14" s="2159"/>
      <c r="D14" s="2159"/>
      <c r="E14" s="1095">
        <f>IF(G96&gt;G106,G96,0)</f>
        <v>3472000</v>
      </c>
      <c r="G14" s="1179" t="s">
        <v>2293</v>
      </c>
      <c r="H14" s="1179"/>
      <c r="I14" s="1099">
        <f>IF(Application!AJ1031&gt;0,10%,IF(Application!AJ1035&gt;0,5%,0))</f>
        <v>0.05</v>
      </c>
      <c r="M14" s="1097"/>
    </row>
    <row r="15" spans="1:13" ht="15" customHeight="1" thickBot="1">
      <c r="A15" s="1081"/>
      <c r="B15" s="2160" t="s">
        <v>2303</v>
      </c>
      <c r="C15" s="2160"/>
      <c r="D15" s="2160"/>
      <c r="E15" s="1151">
        <f>IF(E14&gt;0,0,G106)</f>
        <v>0</v>
      </c>
      <c r="G15" s="2157" t="s">
        <v>2294</v>
      </c>
      <c r="H15" s="2158"/>
      <c r="I15" s="1153">
        <f>G123</f>
        <v>8.1699346405228761E-4</v>
      </c>
      <c r="M15" s="1097"/>
    </row>
    <row r="16" spans="1:13" ht="15" customHeight="1">
      <c r="A16" s="1081"/>
      <c r="B16" s="2161" t="s">
        <v>2239</v>
      </c>
      <c r="C16" s="2161"/>
      <c r="D16" s="2161"/>
      <c r="E16" s="1152">
        <f>SUM(E9:E15)</f>
        <v>54016788</v>
      </c>
      <c r="G16" s="1180" t="s">
        <v>2278</v>
      </c>
      <c r="H16" s="1180"/>
      <c r="I16" s="1154">
        <f>I11-((I11*I13)+(I11*I14)+(I11*I15))</f>
        <v>65479970.354084969</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145</v>
      </c>
      <c r="O18" s="1124" t="s">
        <v>591</v>
      </c>
      <c r="P18" s="1079">
        <f>MATCH(Application!T189,Application!BV490:BV547,0)</f>
        <v>37</v>
      </c>
      <c r="S18" s="1101">
        <f>SUM(Cdlac[Population])</f>
        <v>4</v>
      </c>
    </row>
    <row r="19" spans="1:20" ht="15" customHeight="1">
      <c r="A19" s="1081"/>
      <c r="B19" s="1081"/>
      <c r="I19" s="1107"/>
      <c r="L19" s="1079" t="s">
        <v>2235</v>
      </c>
      <c r="M19" s="1079" t="s">
        <v>2234</v>
      </c>
      <c r="N19" s="1079" t="s">
        <v>2248</v>
      </c>
      <c r="O19" s="1079" t="s">
        <v>2249</v>
      </c>
      <c r="P19" s="1079" t="s">
        <v>2236</v>
      </c>
      <c r="Q19" s="1079" t="s">
        <v>2237</v>
      </c>
      <c r="R19" s="1079" t="s">
        <v>2250</v>
      </c>
      <c r="S19" s="1079" t="s">
        <v>2256</v>
      </c>
      <c r="T19" s="1079" t="s">
        <v>386</v>
      </c>
    </row>
    <row r="20" spans="1:20" ht="15" customHeight="1">
      <c r="A20" s="1084"/>
      <c r="C20" s="2153" t="s">
        <v>2296</v>
      </c>
      <c r="D20" s="2153" t="s">
        <v>2297</v>
      </c>
      <c r="E20" s="2153" t="s">
        <v>2298</v>
      </c>
      <c r="F20" s="2153" t="s">
        <v>2299</v>
      </c>
      <c r="G20" s="2153" t="s">
        <v>2295</v>
      </c>
      <c r="H20" s="1108"/>
      <c r="I20" s="1107"/>
      <c r="L20" s="1079">
        <f>IFERROR(MIN(4,MATCH(Application!B718,UnitSizes,0)-1),"")</f>
        <v>0</v>
      </c>
      <c r="M20" s="1101">
        <f>Application!G718</f>
        <v>7</v>
      </c>
      <c r="N20" s="1109">
        <f>Application!AC718</f>
        <v>0.3</v>
      </c>
      <c r="O20" s="1109">
        <f>IF(Cdlac[[#This Row],[Quantity]]&gt;0,IF(Cdlac[[#This Row],[Federal]],30%,IF($G$36,40%,Cdlac[[#This Row],[iAMI]])),"")</f>
        <v>0.3</v>
      </c>
      <c r="P20" s="1101" cm="1">
        <f t="array" ref="P20">IF(Cdlac[[#This Row],[Quantity]]&gt;0,INDEX(TcacRents,$P$18,Cdlac[[#This Row],[Bedrooms]]+1)*Cdlac[[#This Row],[AMI]],"")</f>
        <v>795.6</v>
      </c>
      <c r="Q20" s="1101" cm="1">
        <f t="array" ref="Q20">IF(Cdlac[[#This Row],[Quantity]]&gt;0,INDEX(HudFmrs,$P$18,Cdlac[[#This Row],[Bedrooms]]+1),"")</f>
        <v>2062</v>
      </c>
      <c r="R20" s="1101">
        <f>IF(Cdlac[[#This Row],[Quantity]]&gt;0,MAX(0,Cdlac[[#This Row],[Fair Market Rent]]-Cdlac[[#This Row],[Restricted Rent]]),"")</f>
        <v>1266.4000000000001</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54"/>
      <c r="D21" s="2154"/>
      <c r="E21" s="2154"/>
      <c r="F21" s="2154"/>
      <c r="G21" s="2154"/>
      <c r="H21" s="1108"/>
      <c r="I21" s="1107"/>
      <c r="L21" s="1079">
        <f>IFERROR(MIN(4,MATCH(Application!B719,UnitSizes,0)-1),"")</f>
        <v>0</v>
      </c>
      <c r="M21" s="1101">
        <f>Application!G719</f>
        <v>2</v>
      </c>
      <c r="N21" s="1109">
        <f>Application!AC719</f>
        <v>0.3</v>
      </c>
      <c r="O21" s="1109">
        <f>IF(Cdlac[[#This Row],[Quantity]]&gt;0,IF(Cdlac[[#This Row],[Federal]],30%,IF($G$36,40%,Cdlac[[#This Row],[iAMI]])),"")</f>
        <v>0.3</v>
      </c>
      <c r="P21" s="1101" cm="1">
        <f t="array" ref="P21">IF(Cdlac[[#This Row],[Quantity]]&gt;0,INDEX(TcacRents,$P$18,Cdlac[[#This Row],[Bedrooms]]+1)*Cdlac[[#This Row],[AMI]],"")</f>
        <v>795.6</v>
      </c>
      <c r="Q21" s="1101" cm="1">
        <f t="array" ref="Q21">IF(Cdlac[[#This Row],[Quantity]]&gt;0,INDEX(HudFmrs,$P$18,Cdlac[[#This Row],[Bedrooms]]+1),"")</f>
        <v>2062</v>
      </c>
      <c r="R21" s="1101">
        <f>IF(Cdlac[[#This Row],[Quantity]]&gt;0,MAX(0,Cdlac[[#This Row],[Fair Market Rent]]-Cdlac[[#This Row],[Restricted Rent]]),"")</f>
        <v>1266.4000000000001</v>
      </c>
      <c r="S21" s="1079">
        <f>IF(Cdlac[[#This Row],[Quantity]]&gt;0,AND(Application!AK719&lt;&gt;"N/A",Application!AK719&lt;&gt;"")*Cdlac[[#This Row],[Quantity]],"")</f>
        <v>2</v>
      </c>
      <c r="T21" s="1079" t="b">
        <f>AND('Subsidy Contract Calculation'!F5&gt;0,'Subsidy Contract Calculation'!C5="Federal",Cdlac[[#This Row],[Quantity]]&gt;0)</f>
        <v>0</v>
      </c>
    </row>
    <row r="22" spans="1:20" ht="15" customHeight="1">
      <c r="C22" s="1110">
        <v>0</v>
      </c>
      <c r="D22" s="1111">
        <v>0.9</v>
      </c>
      <c r="E22" s="1110">
        <f>SUMIFS(Cdlac[Quantity],Cdlac[Bedrooms],C22)</f>
        <v>24</v>
      </c>
      <c r="F22" s="1110">
        <f>E22</f>
        <v>24</v>
      </c>
      <c r="G22" s="1110">
        <f>D22*F22</f>
        <v>21.6</v>
      </c>
      <c r="L22" s="1079">
        <f>IFERROR(MIN(4,MATCH(Application!B720,UnitSizes,0)-1),"")</f>
        <v>0</v>
      </c>
      <c r="M22" s="1101">
        <f>Application!G720</f>
        <v>15</v>
      </c>
      <c r="N22" s="1109">
        <f>Application!AC720</f>
        <v>0.5</v>
      </c>
      <c r="O22" s="1109">
        <f>IF(Cdlac[[#This Row],[Quantity]]&gt;0,IF(Cdlac[[#This Row],[Federal]],30%,IF($G$36,40%,Cdlac[[#This Row],[iAMI]])),"")</f>
        <v>0.5</v>
      </c>
      <c r="P22" s="1101" cm="1">
        <f t="array" ref="P22">IF(Cdlac[[#This Row],[Quantity]]&gt;0,INDEX(TcacRents,$P$18,Cdlac[[#This Row],[Bedrooms]]+1)*Cdlac[[#This Row],[AMI]],"")</f>
        <v>1326</v>
      </c>
      <c r="Q22" s="1101" cm="1">
        <f t="array" ref="Q22">IF(Cdlac[[#This Row],[Quantity]]&gt;0,INDEX(HudFmrs,$P$18,Cdlac[[#This Row],[Bedrooms]]+1),"")</f>
        <v>2062</v>
      </c>
      <c r="R22" s="1101">
        <f>IF(Cdlac[[#This Row],[Quantity]]&gt;0,MAX(0,Cdlac[[#This Row],[Fair Market Rent]]-Cdlac[[#This Row],[Restricted Rent]]),"")</f>
        <v>736</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38</v>
      </c>
      <c r="F23" s="1110">
        <f>E23</f>
        <v>38</v>
      </c>
      <c r="G23" s="1110">
        <f>D23*F23</f>
        <v>38</v>
      </c>
      <c r="L23" s="1079">
        <f>IFERROR(MIN(4,MATCH(Application!B721,UnitSizes,0)-1),"")</f>
        <v>1</v>
      </c>
      <c r="M23" s="1101">
        <f>Application!G721</f>
        <v>12</v>
      </c>
      <c r="N23" s="1109">
        <f>Application!AC721</f>
        <v>0.3</v>
      </c>
      <c r="O23" s="1109">
        <f>IF(Cdlac[[#This Row],[Quantity]]&gt;0,IF(Cdlac[[#This Row],[Federal]],30%,IF($G$36,40%,Cdlac[[#This Row],[iAMI]])),"")</f>
        <v>0.3</v>
      </c>
      <c r="P23" s="1101" cm="1">
        <f t="array" ref="P23">IF(Cdlac[[#This Row],[Quantity]]&gt;0,INDEX(TcacRents,$P$18,Cdlac[[#This Row],[Bedrooms]]+1)*Cdlac[[#This Row],[AMI]],"")</f>
        <v>852</v>
      </c>
      <c r="Q23" s="1101" cm="1">
        <f t="array" ref="Q23">IF(Cdlac[[#This Row],[Quantity]]&gt;0,INDEX(HudFmrs,$P$18,Cdlac[[#This Row],[Bedrooms]]+1),"")</f>
        <v>2248</v>
      </c>
      <c r="R23" s="1101">
        <f>IF(Cdlac[[#This Row],[Quantity]]&gt;0,MAX(0,Cdlac[[#This Row],[Fair Market Rent]]-Cdlac[[#This Row],[Restricted Rent]]),"")</f>
        <v>1396</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42</v>
      </c>
      <c r="F24" s="1113">
        <f>SUM(E24:E26)-SUM(F25:F26)</f>
        <v>42</v>
      </c>
      <c r="G24" s="1110">
        <f>D24*F24</f>
        <v>52.5</v>
      </c>
      <c r="H24" s="1112"/>
      <c r="I24" s="1112"/>
      <c r="L24" s="1079">
        <f>IFERROR(MIN(4,MATCH(Application!B722,UnitSizes,0)-1),"")</f>
        <v>1</v>
      </c>
      <c r="M24" s="1101">
        <f>Application!G722</f>
        <v>2</v>
      </c>
      <c r="N24" s="1109">
        <f>Application!AC722</f>
        <v>0.3</v>
      </c>
      <c r="O24" s="1109">
        <f>IF(Cdlac[[#This Row],[Quantity]]&gt;0,IF(Cdlac[[#This Row],[Federal]],30%,IF($G$36,40%,Cdlac[[#This Row],[iAMI]])),"")</f>
        <v>0.3</v>
      </c>
      <c r="P24" s="1101" cm="1">
        <f t="array" ref="P24">IF(Cdlac[[#This Row],[Quantity]]&gt;0,INDEX(TcacRents,$P$18,Cdlac[[#This Row],[Bedrooms]]+1)*Cdlac[[#This Row],[AMI]],"")</f>
        <v>852</v>
      </c>
      <c r="Q24" s="1101" cm="1">
        <f t="array" ref="Q24">IF(Cdlac[[#This Row],[Quantity]]&gt;0,INDEX(HudFmrs,$P$18,Cdlac[[#This Row],[Bedrooms]]+1),"")</f>
        <v>2248</v>
      </c>
      <c r="R24" s="1101">
        <f>IF(Cdlac[[#This Row],[Quantity]]&gt;0,MAX(0,Cdlac[[#This Row],[Fair Market Rent]]-Cdlac[[#This Row],[Restricted Rent]]),"")</f>
        <v>1396</v>
      </c>
      <c r="S24" s="1079">
        <f>IF(Cdlac[[#This Row],[Quantity]]&gt;0,AND(Application!AK722&lt;&gt;"N/A",Application!AK722&lt;&gt;"")*Cdlac[[#This Row],[Quantity]],"")</f>
        <v>2</v>
      </c>
      <c r="T24" s="1079" t="b">
        <f>AND('Subsidy Contract Calculation'!F8&gt;0,'Subsidy Contract Calculation'!C8="Federal",Cdlac[[#This Row],[Quantity]]&gt;0)</f>
        <v>0</v>
      </c>
    </row>
    <row r="25" spans="1:20" ht="15" customHeight="1">
      <c r="A25" s="1112"/>
      <c r="C25" s="1113">
        <v>3</v>
      </c>
      <c r="D25" s="1111">
        <f>1.5+0.25*0</f>
        <v>1.5</v>
      </c>
      <c r="E25" s="1110">
        <f>SUMIFS(Cdlac[Quantity],Cdlac[Bedrooms],C25)</f>
        <v>41</v>
      </c>
      <c r="F25" s="1113">
        <f>MIN(E25,ROUNDDOWN(E27*30%,0))</f>
        <v>41</v>
      </c>
      <c r="G25" s="1110">
        <f>D25*F25</f>
        <v>61.5</v>
      </c>
      <c r="H25" s="1112"/>
      <c r="I25" s="1112"/>
      <c r="L25" s="1079">
        <f>IFERROR(MIN(4,MATCH(Application!B723,UnitSizes,0)-1),"")</f>
        <v>1</v>
      </c>
      <c r="M25" s="1101">
        <f>Application!G723</f>
        <v>4</v>
      </c>
      <c r="N25" s="1109">
        <f>Application!AC723</f>
        <v>0.4</v>
      </c>
      <c r="O25" s="1109">
        <f>IF(Cdlac[[#This Row],[Quantity]]&gt;0,IF(Cdlac[[#This Row],[Federal]],30%,IF($G$36,40%,Cdlac[[#This Row],[iAMI]])),"")</f>
        <v>0.4</v>
      </c>
      <c r="P25" s="1101" cm="1">
        <f t="array" ref="P25">IF(Cdlac[[#This Row],[Quantity]]&gt;0,INDEX(TcacRents,$P$18,Cdlac[[#This Row],[Bedrooms]]+1)*Cdlac[[#This Row],[AMI]],"")</f>
        <v>1136</v>
      </c>
      <c r="Q25" s="1101" cm="1">
        <f t="array" ref="Q25">IF(Cdlac[[#This Row],[Quantity]]&gt;0,INDEX(HudFmrs,$P$18,Cdlac[[#This Row],[Bedrooms]]+1),"")</f>
        <v>2248</v>
      </c>
      <c r="R25" s="1101">
        <f>IF(Cdlac[[#This Row],[Quantity]]&gt;0,MAX(0,Cdlac[[#This Row],[Fair Market Rent]]-Cdlac[[#This Row],[Restricted Rent]]),"")</f>
        <v>1112</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1</v>
      </c>
      <c r="M26" s="1101">
        <f>Application!G724</f>
        <v>12</v>
      </c>
      <c r="N26" s="1109">
        <f>Application!AC724</f>
        <v>0.5</v>
      </c>
      <c r="O26" s="1109">
        <f>IF(Cdlac[[#This Row],[Quantity]]&gt;0,IF(Cdlac[[#This Row],[Federal]],30%,IF($G$36,40%,Cdlac[[#This Row],[iAMI]])),"")</f>
        <v>0.5</v>
      </c>
      <c r="P26" s="1101" cm="1">
        <f t="array" ref="P26">IF(Cdlac[[#This Row],[Quantity]]&gt;0,INDEX(TcacRents,$P$18,Cdlac[[#This Row],[Bedrooms]]+1)*Cdlac[[#This Row],[AMI]],"")</f>
        <v>1420</v>
      </c>
      <c r="Q26" s="1101" cm="1">
        <f t="array" ref="Q26">IF(Cdlac[[#This Row],[Quantity]]&gt;0,INDEX(HudFmrs,$P$18,Cdlac[[#This Row],[Bedrooms]]+1),"")</f>
        <v>2248</v>
      </c>
      <c r="R26" s="1101">
        <f>IF(Cdlac[[#This Row],[Quantity]]&gt;0,MAX(0,Cdlac[[#This Row],[Fair Market Rent]]-Cdlac[[#This Row],[Restricted Rent]]),"")</f>
        <v>828</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55" t="s">
        <v>1698</v>
      </c>
      <c r="D27" s="2156"/>
      <c r="E27" s="1129">
        <f>SUM(E22:E26)</f>
        <v>145</v>
      </c>
      <c r="F27" s="1129">
        <f>SUM(F22:F26)</f>
        <v>145</v>
      </c>
      <c r="G27" s="1130">
        <f>SUMPRODUCT(D22:D26,F22:F26)</f>
        <v>173.6</v>
      </c>
      <c r="H27" s="1112"/>
      <c r="I27" s="1112"/>
      <c r="L27" s="1079">
        <f>IFERROR(MIN(4,MATCH(Application!B725,UnitSizes,0)-1),"")</f>
        <v>1</v>
      </c>
      <c r="M27" s="1101">
        <f>Application!G725</f>
        <v>8</v>
      </c>
      <c r="N27" s="1109">
        <f>Application!AC725</f>
        <v>0.8</v>
      </c>
      <c r="O27" s="1109">
        <f>IF(Cdlac[[#This Row],[Quantity]]&gt;0,IF(Cdlac[[#This Row],[Federal]],30%,IF($G$36,40%,Cdlac[[#This Row],[iAMI]])),"")</f>
        <v>0.8</v>
      </c>
      <c r="P27" s="1101" cm="1">
        <f t="array" ref="P27">IF(Cdlac[[#This Row],[Quantity]]&gt;0,INDEX(TcacRents,$P$18,Cdlac[[#This Row],[Bedrooms]]+1)*Cdlac[[#This Row],[AMI]],"")</f>
        <v>2272</v>
      </c>
      <c r="Q27" s="1101" cm="1">
        <f t="array" ref="Q27">IF(Cdlac[[#This Row],[Quantity]]&gt;0,INDEX(HudFmrs,$P$18,Cdlac[[#This Row],[Bedrooms]]+1),"")</f>
        <v>2248</v>
      </c>
      <c r="R27" s="1101">
        <f>IF(Cdlac[[#This Row],[Quantity]]&gt;0,MAX(0,Cdlac[[#This Row],[Fair Market Rent]]-Cdlac[[#This Row],[Restricted Rent]]),"")</f>
        <v>0</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f>IFERROR(MIN(4,MATCH(Application!B726,UnitSizes,0)-1),"")</f>
        <v>2</v>
      </c>
      <c r="M28" s="1101">
        <f>Application!G726</f>
        <v>10</v>
      </c>
      <c r="N28" s="1109">
        <f>Application!AC726</f>
        <v>0.3</v>
      </c>
      <c r="O28" s="1109">
        <f>IF(Cdlac[[#This Row],[Quantity]]&gt;0,IF(Cdlac[[#This Row],[Federal]],30%,IF($G$36,40%,Cdlac[[#This Row],[iAMI]])),"")</f>
        <v>0.3</v>
      </c>
      <c r="P28" s="1101" cm="1">
        <f t="array" ref="P28">IF(Cdlac[[#This Row],[Quantity]]&gt;0,INDEX(TcacRents,$P$18,Cdlac[[#This Row],[Bedrooms]]+1)*Cdlac[[#This Row],[AMI]],"")</f>
        <v>1023</v>
      </c>
      <c r="Q28" s="1101" cm="1">
        <f t="array" ref="Q28">IF(Cdlac[[#This Row],[Quantity]]&gt;0,INDEX(HudFmrs,$P$18,Cdlac[[#This Row],[Bedrooms]]+1),"")</f>
        <v>2833</v>
      </c>
      <c r="R28" s="1101">
        <f>IF(Cdlac[[#This Row],[Quantity]]&gt;0,MAX(0,Cdlac[[#This Row],[Fair Market Rent]]-Cdlac[[#This Row],[Restricted Rent]]),"")</f>
        <v>1810</v>
      </c>
      <c r="S28" s="1079">
        <f>IF(Cdlac[[#This Row],[Quantity]]&gt;0,AND(Application!AK726&lt;&gt;"N/A",Application!AK726&lt;&gt;"")*Cdlac[[#This Row],[Quantity]],"")</f>
        <v>0</v>
      </c>
      <c r="T28" s="1079" t="b">
        <f>AND('Subsidy Contract Calculation'!F12&gt;0,'Subsidy Contract Calculation'!C12="Federal",Cdlac[[#This Row],[Quantity]]&gt;0)</f>
        <v>0</v>
      </c>
    </row>
    <row r="29" spans="1:20" ht="15" customHeight="1">
      <c r="A29" s="1112"/>
      <c r="E29" s="1159" t="s">
        <v>2295</v>
      </c>
      <c r="G29" s="1156">
        <f>G27</f>
        <v>173.6</v>
      </c>
      <c r="H29" s="1112"/>
      <c r="I29" s="1112"/>
      <c r="L29" s="1079">
        <f>IFERROR(MIN(4,MATCH(Application!B727,UnitSizes,0)-1),"")</f>
        <v>2</v>
      </c>
      <c r="M29" s="1101">
        <f>Application!G727</f>
        <v>14</v>
      </c>
      <c r="N29" s="1109">
        <f>Application!AC727</f>
        <v>0.4</v>
      </c>
      <c r="O29" s="1109">
        <f>IF(Cdlac[[#This Row],[Quantity]]&gt;0,IF(Cdlac[[#This Row],[Federal]],30%,IF($G$36,40%,Cdlac[[#This Row],[iAMI]])),"")</f>
        <v>0.4</v>
      </c>
      <c r="P29" s="1101" cm="1">
        <f t="array" ref="P29">IF(Cdlac[[#This Row],[Quantity]]&gt;0,INDEX(TcacRents,$P$18,Cdlac[[#This Row],[Bedrooms]]+1)*Cdlac[[#This Row],[AMI]],"")</f>
        <v>1364</v>
      </c>
      <c r="Q29" s="1101" cm="1">
        <f t="array" ref="Q29">IF(Cdlac[[#This Row],[Quantity]]&gt;0,INDEX(HudFmrs,$P$18,Cdlac[[#This Row],[Bedrooms]]+1),"")</f>
        <v>2833</v>
      </c>
      <c r="R29" s="1101">
        <f>IF(Cdlac[[#This Row],[Quantity]]&gt;0,MAX(0,Cdlac[[#This Row],[Fair Market Rent]]-Cdlac[[#This Row],[Restricted Rent]]),"")</f>
        <v>1469</v>
      </c>
      <c r="S29" s="1079">
        <f>IF(Cdlac[[#This Row],[Quantity]]&gt;0,AND(Application!AK727&lt;&gt;"N/A",Application!AK727&lt;&gt;"")*Cdlac[[#This Row],[Quantity]],"")</f>
        <v>0</v>
      </c>
      <c r="T29" s="1079" t="b">
        <f>AND('Subsidy Contract Calculation'!F13&gt;0,'Subsidy Contract Calculation'!C13="Federal",Cdlac[[#This Row],[Quantity]]&gt;0)</f>
        <v>0</v>
      </c>
    </row>
    <row r="30" spans="1:20" ht="15" customHeight="1">
      <c r="A30" s="1112"/>
      <c r="E30" s="1159" t="s">
        <v>2247</v>
      </c>
      <c r="F30" s="1155" t="s">
        <v>2304</v>
      </c>
      <c r="G30" s="1157">
        <v>50000</v>
      </c>
      <c r="H30" s="1112"/>
      <c r="I30" s="1112"/>
      <c r="L30" s="1079">
        <f>IFERROR(MIN(4,MATCH(Application!B728,UnitSizes,0)-1),"")</f>
        <v>2</v>
      </c>
      <c r="M30" s="1101">
        <f>Application!G728</f>
        <v>4</v>
      </c>
      <c r="N30" s="1109">
        <f>Application!AC728</f>
        <v>0.5</v>
      </c>
      <c r="O30" s="1109">
        <f>IF(Cdlac[[#This Row],[Quantity]]&gt;0,IF(Cdlac[[#This Row],[Federal]],30%,IF($G$36,40%,Cdlac[[#This Row],[iAMI]])),"")</f>
        <v>0.5</v>
      </c>
      <c r="P30" s="1101" cm="1">
        <f t="array" ref="P30">IF(Cdlac[[#This Row],[Quantity]]&gt;0,INDEX(TcacRents,$P$18,Cdlac[[#This Row],[Bedrooms]]+1)*Cdlac[[#This Row],[AMI]],"")</f>
        <v>1705</v>
      </c>
      <c r="Q30" s="1101" cm="1">
        <f t="array" ref="Q30">IF(Cdlac[[#This Row],[Quantity]]&gt;0,INDEX(HudFmrs,$P$18,Cdlac[[#This Row],[Bedrooms]]+1),"")</f>
        <v>2833</v>
      </c>
      <c r="R30" s="1101">
        <f>IF(Cdlac[[#This Row],[Quantity]]&gt;0,MAX(0,Cdlac[[#This Row],[Fair Market Rent]]-Cdlac[[#This Row],[Restricted Rent]]),"")</f>
        <v>1128</v>
      </c>
      <c r="S30" s="1079">
        <f>IF(Cdlac[[#This Row],[Quantity]]&gt;0,AND(Application!AK728&lt;&gt;"N/A",Application!AK728&lt;&gt;"")*Cdlac[[#This Row],[Quantity]],"")</f>
        <v>0</v>
      </c>
      <c r="T30" s="1079" t="b">
        <f>AND('Subsidy Contract Calculation'!F14&gt;0,'Subsidy Contract Calculation'!C14="Federal",Cdlac[[#This Row],[Quantity]]&gt;0)</f>
        <v>0</v>
      </c>
    </row>
    <row r="31" spans="1:20" ht="15" customHeight="1">
      <c r="A31" s="1112"/>
      <c r="E31" s="1160" t="s">
        <v>2288</v>
      </c>
      <c r="F31" s="1081"/>
      <c r="G31" s="1161">
        <f>G30*G29</f>
        <v>8680000</v>
      </c>
      <c r="H31" s="1112"/>
      <c r="I31" s="1112"/>
      <c r="L31" s="1079">
        <f>IFERROR(MIN(4,MATCH(Application!B729,UnitSizes,0)-1),"")</f>
        <v>2</v>
      </c>
      <c r="M31" s="1101">
        <f>Application!G729</f>
        <v>4</v>
      </c>
      <c r="N31" s="1109">
        <f>Application!AC729</f>
        <v>0.6</v>
      </c>
      <c r="O31" s="1109">
        <f>IF(Cdlac[[#This Row],[Quantity]]&gt;0,IF(Cdlac[[#This Row],[Federal]],30%,IF($G$36,40%,Cdlac[[#This Row],[iAMI]])),"")</f>
        <v>0.6</v>
      </c>
      <c r="P31" s="1101" cm="1">
        <f t="array" ref="P31">IF(Cdlac[[#This Row],[Quantity]]&gt;0,INDEX(TcacRents,$P$18,Cdlac[[#This Row],[Bedrooms]]+1)*Cdlac[[#This Row],[AMI]],"")</f>
        <v>2046</v>
      </c>
      <c r="Q31" s="1101" cm="1">
        <f t="array" ref="Q31">IF(Cdlac[[#This Row],[Quantity]]&gt;0,INDEX(HudFmrs,$P$18,Cdlac[[#This Row],[Bedrooms]]+1),"")</f>
        <v>2833</v>
      </c>
      <c r="R31" s="1101">
        <f>IF(Cdlac[[#This Row],[Quantity]]&gt;0,MAX(0,Cdlac[[#This Row],[Fair Market Rent]]-Cdlac[[#This Row],[Restricted Rent]]),"")</f>
        <v>787</v>
      </c>
      <c r="S31" s="1079">
        <f>IF(Cdlac[[#This Row],[Quantity]]&gt;0,AND(Application!AK729&lt;&gt;"N/A",Application!AK729&lt;&gt;"")*Cdlac[[#This Row],[Quantity]],"")</f>
        <v>0</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f>IFERROR(MIN(4,MATCH(Application!B730,UnitSizes,0)-1),"")</f>
        <v>2</v>
      </c>
      <c r="M32" s="1101">
        <f>Application!G730</f>
        <v>10</v>
      </c>
      <c r="N32" s="1109">
        <f>Application!AC730</f>
        <v>0.8</v>
      </c>
      <c r="O32" s="1109">
        <f>IF(Cdlac[[#This Row],[Quantity]]&gt;0,IF(Cdlac[[#This Row],[Federal]],30%,IF($G$36,40%,Cdlac[[#This Row],[iAMI]])),"")</f>
        <v>0.8</v>
      </c>
      <c r="P32" s="1101" cm="1">
        <f t="array" ref="P32">IF(Cdlac[[#This Row],[Quantity]]&gt;0,INDEX(TcacRents,$P$18,Cdlac[[#This Row],[Bedrooms]]+1)*Cdlac[[#This Row],[AMI]],"")</f>
        <v>2728</v>
      </c>
      <c r="Q32" s="1101" cm="1">
        <f t="array" ref="Q32">IF(Cdlac[[#This Row],[Quantity]]&gt;0,INDEX(HudFmrs,$P$18,Cdlac[[#This Row],[Bedrooms]]+1),"")</f>
        <v>2833</v>
      </c>
      <c r="R32" s="1101">
        <f>IF(Cdlac[[#This Row],[Quantity]]&gt;0,MAX(0,Cdlac[[#This Row],[Fair Market Rent]]-Cdlac[[#This Row],[Restricted Rent]]),"")</f>
        <v>105</v>
      </c>
      <c r="S32" s="1079">
        <f>IF(Cdlac[[#This Row],[Quantity]]&gt;0,AND(Application!AK730&lt;&gt;"N/A",Application!AK730&lt;&gt;"")*Cdlac[[#This Row],[Quantity]],"")</f>
        <v>0</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f>IFERROR(MIN(4,MATCH(Application!B731,UnitSizes,0)-1),"")</f>
        <v>3</v>
      </c>
      <c r="M33" s="1101">
        <f>Application!G731</f>
        <v>1</v>
      </c>
      <c r="N33" s="1109">
        <f>Application!AC731</f>
        <v>0.3</v>
      </c>
      <c r="O33" s="1109">
        <f>IF(Cdlac[[#This Row],[Quantity]]&gt;0,IF(Cdlac[[#This Row],[Federal]],30%,IF($G$36,40%,Cdlac[[#This Row],[iAMI]])),"")</f>
        <v>0.3</v>
      </c>
      <c r="P33" s="1101" cm="1">
        <f t="array" ref="P33">IF(Cdlac[[#This Row],[Quantity]]&gt;0,INDEX(TcacRents,$P$18,Cdlac[[#This Row],[Bedrooms]]+1)*Cdlac[[#This Row],[AMI]],"")</f>
        <v>1182</v>
      </c>
      <c r="Q33" s="1101" cm="1">
        <f t="array" ref="Q33">IF(Cdlac[[#This Row],[Quantity]]&gt;0,INDEX(HudFmrs,$P$18,Cdlac[[#This Row],[Bedrooms]]+1),"")</f>
        <v>3819</v>
      </c>
      <c r="R33" s="1101">
        <f>IF(Cdlac[[#This Row],[Quantity]]&gt;0,MAX(0,Cdlac[[#This Row],[Fair Market Rent]]-Cdlac[[#This Row],[Restricted Rent]]),"")</f>
        <v>2637</v>
      </c>
      <c r="S33" s="1079">
        <f>IF(Cdlac[[#This Row],[Quantity]]&gt;0,AND(Application!AK731&lt;&gt;"N/A",Application!AK731&lt;&gt;"")*Cdlac[[#This Row],[Quantity]],"")</f>
        <v>0</v>
      </c>
      <c r="T33" s="1079" t="b">
        <f>AND('Subsidy Contract Calculation'!F17&gt;0,'Subsidy Contract Calculation'!C17="Federal",Cdlac[[#This Row],[Quantity]]&gt;0)</f>
        <v>0</v>
      </c>
    </row>
    <row r="34" spans="2:20" ht="15" customHeight="1">
      <c r="L34" s="1079">
        <f>IFERROR(MIN(4,MATCH(Application!B732,UnitSizes,0)-1),"")</f>
        <v>3</v>
      </c>
      <c r="M34" s="1101">
        <f>Application!G732</f>
        <v>4</v>
      </c>
      <c r="N34" s="1109">
        <f>Application!AC732</f>
        <v>0.3</v>
      </c>
      <c r="O34" s="1109">
        <f>IF(Cdlac[[#This Row],[Quantity]]&gt;0,IF(Cdlac[[#This Row],[Federal]],30%,IF($G$36,40%,Cdlac[[#This Row],[iAMI]])),"")</f>
        <v>0.3</v>
      </c>
      <c r="P34" s="1101" cm="1">
        <f t="array" ref="P34">IF(Cdlac[[#This Row],[Quantity]]&gt;0,INDEX(TcacRents,$P$18,Cdlac[[#This Row],[Bedrooms]]+1)*Cdlac[[#This Row],[AMI]],"")</f>
        <v>1182</v>
      </c>
      <c r="Q34" s="1101" cm="1">
        <f t="array" ref="Q34">IF(Cdlac[[#This Row],[Quantity]]&gt;0,INDEX(HudFmrs,$P$18,Cdlac[[#This Row],[Bedrooms]]+1),"")</f>
        <v>3819</v>
      </c>
      <c r="R34" s="1101">
        <f>IF(Cdlac[[#This Row],[Quantity]]&gt;0,MAX(0,Cdlac[[#This Row],[Fair Market Rent]]-Cdlac[[#This Row],[Restricted Rent]]),"")</f>
        <v>2637</v>
      </c>
      <c r="S34" s="1079">
        <f>IF(Cdlac[[#This Row],[Quantity]]&gt;0,AND(Application!AK732&lt;&gt;"N/A",Application!AK732&lt;&gt;"")*Cdlac[[#This Row],[Quantity]],"")</f>
        <v>0</v>
      </c>
      <c r="T34" s="1079" t="b">
        <f>AND('Subsidy Contract Calculation'!F18&gt;0,'Subsidy Contract Calculation'!C18="Federal",Cdlac[[#This Row],[Quantity]]&gt;0)</f>
        <v>0</v>
      </c>
    </row>
    <row r="35" spans="2:20" ht="15" customHeight="1">
      <c r="E35" s="1124" t="s">
        <v>2315</v>
      </c>
      <c r="G35" s="1162" cm="1">
        <f t="array" ref="G35">SUMPRODUCT(Cdlac[Quantity],Cdlac[iAMI],IF(Cdlac[Federal],0,1))/SUMIFS(Cdlac[Quantity],Cdlac[Federal],FALSE)</f>
        <v>0.5</v>
      </c>
      <c r="L35" s="1079">
        <f>IFERROR(MIN(4,MATCH(Application!B733,UnitSizes,0)-1),"")</f>
        <v>3</v>
      </c>
      <c r="M35" s="1101">
        <f>Application!G733</f>
        <v>7</v>
      </c>
      <c r="N35" s="1109">
        <f>Application!AC733</f>
        <v>0.4</v>
      </c>
      <c r="O35" s="1109">
        <f>IF(Cdlac[[#This Row],[Quantity]]&gt;0,IF(Cdlac[[#This Row],[Federal]],30%,IF($G$36,40%,Cdlac[[#This Row],[iAMI]])),"")</f>
        <v>0.4</v>
      </c>
      <c r="P35" s="1101" cm="1">
        <f t="array" ref="P35">IF(Cdlac[[#This Row],[Quantity]]&gt;0,INDEX(TcacRents,$P$18,Cdlac[[#This Row],[Bedrooms]]+1)*Cdlac[[#This Row],[AMI]],"")</f>
        <v>1576</v>
      </c>
      <c r="Q35" s="1101" cm="1">
        <f t="array" ref="Q35">IF(Cdlac[[#This Row],[Quantity]]&gt;0,INDEX(HudFmrs,$P$18,Cdlac[[#This Row],[Bedrooms]]+1),"")</f>
        <v>3819</v>
      </c>
      <c r="R35" s="1101">
        <f>IF(Cdlac[[#This Row],[Quantity]]&gt;0,MAX(0,Cdlac[[#This Row],[Fair Market Rent]]-Cdlac[[#This Row],[Restricted Rent]]),"")</f>
        <v>2243</v>
      </c>
      <c r="S35" s="1079">
        <f>IF(Cdlac[[#This Row],[Quantity]]&gt;0,AND(Application!AK733&lt;&gt;"N/A",Application!AK733&lt;&gt;"")*Cdlac[[#This Row],[Quantity]],"")</f>
        <v>0</v>
      </c>
      <c r="T35" s="1079" t="b">
        <f>AND('Subsidy Contract Calculation'!F19&gt;0,'Subsidy Contract Calculation'!C19="Federal",Cdlac[[#This Row],[Quantity]]&gt;0)</f>
        <v>0</v>
      </c>
    </row>
    <row r="36" spans="2:20" ht="15" customHeight="1">
      <c r="E36" s="1124" t="s">
        <v>2310</v>
      </c>
      <c r="G36" s="1119" t="b">
        <f>G35&lt;40%</f>
        <v>0</v>
      </c>
      <c r="L36" s="1079">
        <f>IFERROR(MIN(4,MATCH(Application!B734,UnitSizes,0)-1),"")</f>
        <v>3</v>
      </c>
      <c r="M36" s="1101">
        <f>Application!G734</f>
        <v>4</v>
      </c>
      <c r="N36" s="1109">
        <f>Application!AC734</f>
        <v>0.5</v>
      </c>
      <c r="O36" s="1109">
        <f>IF(Cdlac[[#This Row],[Quantity]]&gt;0,IF(Cdlac[[#This Row],[Federal]],30%,IF($G$36,40%,Cdlac[[#This Row],[iAMI]])),"")</f>
        <v>0.5</v>
      </c>
      <c r="P36" s="1101" cm="1">
        <f t="array" ref="P36">IF(Cdlac[[#This Row],[Quantity]]&gt;0,INDEX(TcacRents,$P$18,Cdlac[[#This Row],[Bedrooms]]+1)*Cdlac[[#This Row],[AMI]],"")</f>
        <v>1970</v>
      </c>
      <c r="Q36" s="1101" cm="1">
        <f t="array" ref="Q36">IF(Cdlac[[#This Row],[Quantity]]&gt;0,INDEX(HudFmrs,$P$18,Cdlac[[#This Row],[Bedrooms]]+1),"")</f>
        <v>3819</v>
      </c>
      <c r="R36" s="1101">
        <f>IF(Cdlac[[#This Row],[Quantity]]&gt;0,MAX(0,Cdlac[[#This Row],[Fair Market Rent]]-Cdlac[[#This Row],[Restricted Rent]]),"")</f>
        <v>1849</v>
      </c>
      <c r="S36" s="1079">
        <f>IF(Cdlac[[#This Row],[Quantity]]&gt;0,AND(Application!AK734&lt;&gt;"N/A",Application!AK734&lt;&gt;"")*Cdlac[[#This Row],[Quantity]],"")</f>
        <v>0</v>
      </c>
      <c r="T36" s="1079" t="b">
        <f>AND('Subsidy Contract Calculation'!F20&gt;0,'Subsidy Contract Calculation'!C20="Federal",Cdlac[[#This Row],[Quantity]]&gt;0)</f>
        <v>0</v>
      </c>
    </row>
    <row r="37" spans="2:20" ht="15" customHeight="1">
      <c r="L37" s="1079">
        <f>IFERROR(MIN(4,MATCH(Application!B735,UnitSizes,0)-1),"")</f>
        <v>3</v>
      </c>
      <c r="M37" s="1101">
        <f>Application!G735</f>
        <v>16</v>
      </c>
      <c r="N37" s="1109">
        <f>Application!AC735</f>
        <v>0.6</v>
      </c>
      <c r="O37" s="1109">
        <f>IF(Cdlac[[#This Row],[Quantity]]&gt;0,IF(Cdlac[[#This Row],[Federal]],30%,IF($G$36,40%,Cdlac[[#This Row],[iAMI]])),"")</f>
        <v>0.6</v>
      </c>
      <c r="P37" s="1101" cm="1">
        <f t="array" ref="P37">IF(Cdlac[[#This Row],[Quantity]]&gt;0,INDEX(TcacRents,$P$18,Cdlac[[#This Row],[Bedrooms]]+1)*Cdlac[[#This Row],[AMI]],"")</f>
        <v>2364</v>
      </c>
      <c r="Q37" s="1101" cm="1">
        <f t="array" ref="Q37">IF(Cdlac[[#This Row],[Quantity]]&gt;0,INDEX(HudFmrs,$P$18,Cdlac[[#This Row],[Bedrooms]]+1),"")</f>
        <v>3819</v>
      </c>
      <c r="R37" s="1101">
        <f>IF(Cdlac[[#This Row],[Quantity]]&gt;0,MAX(0,Cdlac[[#This Row],[Fair Market Rent]]-Cdlac[[#This Row],[Restricted Rent]]),"")</f>
        <v>1455</v>
      </c>
      <c r="S37" s="1079">
        <f>IF(Cdlac[[#This Row],[Quantity]]&gt;0,AND(Application!AK735&lt;&gt;"N/A",Application!AK735&lt;&gt;"")*Cdlac[[#This Row],[Quantity]],"")</f>
        <v>0</v>
      </c>
      <c r="T37" s="1079" t="b">
        <f>AND('Subsidy Contract Calculation'!F21&gt;0,'Subsidy Contract Calculation'!C21="Federal",Cdlac[[#This Row],[Quantity]]&gt;0)</f>
        <v>0</v>
      </c>
    </row>
    <row r="38" spans="2:20" ht="15" customHeight="1">
      <c r="E38" s="1124" t="s">
        <v>2251</v>
      </c>
      <c r="G38" s="1116">
        <f>SUMPRODUCT(Cdlac[Quantity],Cdlac[Delta])</f>
        <v>169306.6</v>
      </c>
      <c r="L38" s="1079">
        <f>IFERROR(MIN(4,MATCH(Application!B736,UnitSizes,0)-1),"")</f>
        <v>3</v>
      </c>
      <c r="M38" s="1101">
        <f>Application!G736</f>
        <v>9</v>
      </c>
      <c r="N38" s="1109">
        <f>Application!AC736</f>
        <v>0.8</v>
      </c>
      <c r="O38" s="1109">
        <f>IF(Cdlac[[#This Row],[Quantity]]&gt;0,IF(Cdlac[[#This Row],[Federal]],30%,IF($G$36,40%,Cdlac[[#This Row],[iAMI]])),"")</f>
        <v>0.8</v>
      </c>
      <c r="P38" s="1101" cm="1">
        <f t="array" ref="P38">IF(Cdlac[[#This Row],[Quantity]]&gt;0,INDEX(TcacRents,$P$18,Cdlac[[#This Row],[Bedrooms]]+1)*Cdlac[[#This Row],[AMI]],"")</f>
        <v>3152</v>
      </c>
      <c r="Q38" s="1101" cm="1">
        <f t="array" ref="Q38">IF(Cdlac[[#This Row],[Quantity]]&gt;0,INDEX(HudFmrs,$P$18,Cdlac[[#This Row],[Bedrooms]]+1),"")</f>
        <v>3819</v>
      </c>
      <c r="R38" s="1101">
        <f>IF(Cdlac[[#This Row],[Quantity]]&gt;0,MAX(0,Cdlac[[#This Row],[Fair Market Rent]]-Cdlac[[#This Row],[Restricted Rent]]),"")</f>
        <v>667</v>
      </c>
      <c r="S38" s="1079">
        <f>IF(Cdlac[[#This Row],[Quantity]]&gt;0,AND(Application!AK736&lt;&gt;"N/A",Application!AK736&lt;&gt;"")*Cdlac[[#This Row],[Quantity]],"")</f>
        <v>0</v>
      </c>
      <c r="T38" s="1079" t="b">
        <f>AND('Subsidy Contract Calculation'!F22&gt;0,'Subsidy Contract Calculation'!C22="Federal",Cdlac[[#This Row],[Quantity]]&gt;0)</f>
        <v>0</v>
      </c>
    </row>
    <row r="39" spans="2:20" ht="15" customHeight="1">
      <c r="E39" s="1159" t="s">
        <v>2316</v>
      </c>
      <c r="F39" s="1155" t="s">
        <v>2304</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2244</v>
      </c>
      <c r="F40" s="1081"/>
      <c r="G40" s="1165">
        <f>G38*G39</f>
        <v>30475188</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2305</v>
      </c>
      <c r="G44" s="1167">
        <f>S18</f>
        <v>4</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2306</v>
      </c>
      <c r="G45" s="1167">
        <f>ROUNDDOWN(E27*50%,0)</f>
        <v>72</v>
      </c>
    </row>
    <row r="46" spans="2:20" ht="15" customHeight="1">
      <c r="E46" s="1159"/>
      <c r="G46" s="1167"/>
    </row>
    <row r="47" spans="2:20" ht="15" customHeight="1">
      <c r="E47" s="1159" t="s">
        <v>2257</v>
      </c>
      <c r="G47" s="1156">
        <f>MIN(G44:G45)</f>
        <v>4</v>
      </c>
    </row>
    <row r="48" spans="2:20" ht="15" customHeight="1">
      <c r="E48" s="1159" t="s">
        <v>2247</v>
      </c>
      <c r="F48" s="1155" t="s">
        <v>2304</v>
      </c>
      <c r="G48" s="1166">
        <v>10000</v>
      </c>
    </row>
    <row r="49" spans="2:14" ht="15" customHeight="1">
      <c r="E49" s="1160" t="s">
        <v>2287</v>
      </c>
      <c r="F49" s="1081"/>
      <c r="G49" s="1165">
        <f>G47*G48</f>
        <v>40000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2307</v>
      </c>
      <c r="G53" s="1117">
        <f>SUMIFS(Cdlac[Quantity],Cdlac[iAMI],"&lt;=30%")</f>
        <v>38</v>
      </c>
    </row>
    <row r="54" spans="2:14" ht="15" customHeight="1">
      <c r="E54" s="1159" t="s">
        <v>2306</v>
      </c>
      <c r="G54" s="1117">
        <f>ROUNDDOWN(E27*50%,0)</f>
        <v>72</v>
      </c>
    </row>
    <row r="55" spans="2:14" ht="15" customHeight="1">
      <c r="E55" s="1159"/>
      <c r="G55" s="1117"/>
    </row>
    <row r="56" spans="2:14" ht="15" customHeight="1">
      <c r="E56" s="1159" t="s">
        <v>2257</v>
      </c>
      <c r="G56" s="1156">
        <f>MIN(G53:G54)</f>
        <v>38</v>
      </c>
    </row>
    <row r="57" spans="2:14" ht="15" customHeight="1">
      <c r="E57" s="1159" t="s">
        <v>2247</v>
      </c>
      <c r="F57" s="1155" t="s">
        <v>2304</v>
      </c>
      <c r="G57" s="1166">
        <v>20000</v>
      </c>
    </row>
    <row r="58" spans="2:14" ht="15" customHeight="1">
      <c r="E58" s="1160" t="s">
        <v>2286</v>
      </c>
      <c r="F58" s="1081"/>
      <c r="G58" s="1165">
        <f>G56*G57</f>
        <v>760000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2260</v>
      </c>
      <c r="G62" s="1156">
        <f>VLOOKUP('Points System'!$H$595,'Points System'!$AO$575:$AP$580,2,FALSE)</f>
        <v>7</v>
      </c>
      <c r="L62" s="1169" t="str">
        <f>'Points System'!H627</f>
        <v>(i)</v>
      </c>
      <c r="M62" s="2171" t="s">
        <v>1516</v>
      </c>
      <c r="N62" s="2172"/>
    </row>
    <row r="63" spans="2:14" ht="15" customHeight="1">
      <c r="E63" s="1124" t="s">
        <v>2247</v>
      </c>
      <c r="F63" s="1155" t="s">
        <v>2304</v>
      </c>
      <c r="G63" s="1114">
        <v>4000</v>
      </c>
      <c r="L63" s="1170" t="str">
        <f>'Points System'!H639</f>
        <v>(ii)</v>
      </c>
      <c r="M63" s="2173" t="s">
        <v>2261</v>
      </c>
      <c r="N63" s="2174"/>
    </row>
    <row r="64" spans="2:14" ht="15" customHeight="1">
      <c r="E64" s="1124" t="s">
        <v>2308</v>
      </c>
      <c r="F64" s="1155" t="s">
        <v>2304</v>
      </c>
      <c r="G64" s="1168">
        <f>G27</f>
        <v>173.6</v>
      </c>
      <c r="L64" s="1170" t="str">
        <f>'Points System'!H674</f>
        <v>(ii)</v>
      </c>
      <c r="M64" s="2173" t="s">
        <v>2262</v>
      </c>
      <c r="N64" s="2174"/>
    </row>
    <row r="65" spans="2:14" ht="15" customHeight="1">
      <c r="E65" s="1160" t="s">
        <v>2266</v>
      </c>
      <c r="F65" s="1081"/>
      <c r="G65" s="1165">
        <f>G62*G63*G64</f>
        <v>4860800</v>
      </c>
      <c r="L65" s="1170" t="str">
        <f>IF(OR('Points System'!H698="(ii)",'Points System'!H698="(i)"),"(i)","N/A")</f>
        <v>(i)</v>
      </c>
      <c r="M65" s="2173" t="s">
        <v>2263</v>
      </c>
      <c r="N65" s="2174"/>
    </row>
    <row r="66" spans="2:14" ht="15" customHeight="1">
      <c r="C66" s="1115"/>
      <c r="G66" s="1156"/>
      <c r="L66" s="1171" t="str">
        <f>'Points System'!H712</f>
        <v>N/A</v>
      </c>
      <c r="M66" s="2173" t="s">
        <v>1542</v>
      </c>
      <c r="N66" s="2174"/>
    </row>
    <row r="67" spans="2:14" ht="15" customHeight="1">
      <c r="E67" s="1124" t="s">
        <v>2309</v>
      </c>
      <c r="G67" s="1168">
        <f>COUNTIFS(L62:L69,"(i)")</f>
        <v>2</v>
      </c>
      <c r="L67" s="1170" t="str">
        <f>'Points System'!H724</f>
        <v>N/A</v>
      </c>
      <c r="M67" s="2173" t="s">
        <v>2264</v>
      </c>
      <c r="N67" s="2174"/>
    </row>
    <row r="68" spans="2:14" ht="15" customHeight="1">
      <c r="E68" s="1124" t="s">
        <v>2247</v>
      </c>
      <c r="F68" s="1155" t="s">
        <v>2304</v>
      </c>
      <c r="G68" s="1166">
        <v>4000</v>
      </c>
      <c r="L68" s="1170" t="str">
        <f>'Points System'!H740</f>
        <v>N/A</v>
      </c>
      <c r="M68" s="2173" t="s">
        <v>2265</v>
      </c>
      <c r="N68" s="2174"/>
    </row>
    <row r="69" spans="2:14" ht="15" customHeight="1" thickBot="1">
      <c r="E69" s="1160" t="s">
        <v>2267</v>
      </c>
      <c r="F69" s="1081"/>
      <c r="G69" s="1165">
        <f>G64*G67*G68</f>
        <v>1388800</v>
      </c>
      <c r="L69" s="1172" t="str">
        <f>'Points System'!H752</f>
        <v>(ii)</v>
      </c>
      <c r="M69" s="2179" t="s">
        <v>1545</v>
      </c>
      <c r="N69" s="2180"/>
    </row>
    <row r="70" spans="2:14" ht="15" customHeight="1"/>
    <row r="71" spans="2:14" ht="15" customHeight="1">
      <c r="C71" s="1118" t="s">
        <v>2269</v>
      </c>
    </row>
    <row r="72" spans="2:14" ht="15" customHeight="1">
      <c r="C72" s="1115" t="s">
        <v>2270</v>
      </c>
      <c r="G72" s="1078"/>
    </row>
    <row r="73" spans="2:14" ht="15" customHeight="1">
      <c r="C73" s="1115" t="s">
        <v>2271</v>
      </c>
      <c r="G73" s="1078"/>
    </row>
    <row r="74" spans="2:14" ht="15" customHeight="1">
      <c r="C74" s="1115" t="s">
        <v>2499</v>
      </c>
      <c r="G74" s="1078" t="s">
        <v>554</v>
      </c>
    </row>
    <row r="75" spans="2:14" ht="15" customHeight="1">
      <c r="C75" s="1115" t="s">
        <v>2500</v>
      </c>
      <c r="G75" s="1078" t="s">
        <v>554</v>
      </c>
    </row>
    <row r="76" spans="2:14" ht="15" customHeight="1"/>
    <row r="77" spans="2:14" ht="15" customHeight="1">
      <c r="B77" s="1116"/>
      <c r="C77" s="1115"/>
      <c r="E77" s="1124" t="s">
        <v>2311</v>
      </c>
      <c r="G77" s="1117" t="b">
        <f>COUNTIFS(G72:G75,"Yes")&gt;=1</f>
        <v>1</v>
      </c>
    </row>
    <row r="78" spans="2:14" ht="15" customHeight="1">
      <c r="E78" s="1115"/>
    </row>
    <row r="79" spans="2:14" ht="15" customHeight="1">
      <c r="E79" s="1124" t="s">
        <v>2308</v>
      </c>
      <c r="F79" s="1155" t="s">
        <v>2304</v>
      </c>
      <c r="G79" s="1156">
        <f>G27</f>
        <v>173.6</v>
      </c>
    </row>
    <row r="80" spans="2:14" ht="15" customHeight="1">
      <c r="E80" s="1124" t="s">
        <v>2247</v>
      </c>
      <c r="F80" s="1155" t="s">
        <v>2304</v>
      </c>
      <c r="G80" s="1166">
        <v>25000</v>
      </c>
    </row>
    <row r="81" spans="2:14" ht="15" customHeight="1">
      <c r="E81" s="1160" t="s">
        <v>2268</v>
      </c>
      <c r="F81" s="1081"/>
      <c r="G81" s="1165">
        <f>G77*G80*G64</f>
        <v>4340000</v>
      </c>
    </row>
    <row r="82" spans="2:14" ht="15" customHeight="1">
      <c r="C82" s="1115"/>
      <c r="E82" s="1115"/>
    </row>
    <row r="83" spans="2:14" ht="15" customHeight="1">
      <c r="E83" s="1160" t="s">
        <v>2245</v>
      </c>
      <c r="G83" s="1165">
        <f>G81+G69+G65</f>
        <v>10589600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2290</v>
      </c>
      <c r="G87" s="1078" t="s">
        <v>554</v>
      </c>
      <c r="L87" s="2181" t="s">
        <v>2274</v>
      </c>
      <c r="M87" s="2182"/>
      <c r="N87" s="1173">
        <v>30000</v>
      </c>
    </row>
    <row r="88" spans="2:14" ht="15" customHeight="1">
      <c r="C88" s="1115" t="s">
        <v>2291</v>
      </c>
      <c r="G88" s="1119" t="str">
        <f>IF(Application!D211="Large Family","Yes","No")</f>
        <v>Yes</v>
      </c>
      <c r="L88" s="2175" t="s">
        <v>2238</v>
      </c>
      <c r="M88" s="2176"/>
      <c r="N88" s="1174">
        <v>20000</v>
      </c>
    </row>
    <row r="89" spans="2:14" ht="15" customHeight="1" thickBot="1">
      <c r="C89" s="1115" t="s">
        <v>2272</v>
      </c>
      <c r="G89" s="1078" t="s">
        <v>678</v>
      </c>
      <c r="L89" s="2177" t="s">
        <v>2275</v>
      </c>
      <c r="M89" s="2178"/>
      <c r="N89" s="1175">
        <v>10000</v>
      </c>
    </row>
    <row r="90" spans="2:14" ht="15" customHeight="1">
      <c r="C90" s="1115" t="s">
        <v>2273</v>
      </c>
      <c r="G90" s="1079" t="str">
        <f>Application!T193</f>
        <v>High Resource</v>
      </c>
    </row>
    <row r="91" spans="2:14" ht="15" customHeight="1">
      <c r="C91" s="1115"/>
    </row>
    <row r="92" spans="2:14" ht="15" customHeight="1">
      <c r="E92" s="1124" t="s">
        <v>2311</v>
      </c>
      <c r="G92" s="1117" t="b">
        <f>AND(COUNTIFS(G88:G89,"Yes")&gt;=1,G87="Yes")</f>
        <v>1</v>
      </c>
    </row>
    <row r="93" spans="2:14" ht="15" customHeight="1">
      <c r="E93" s="1124"/>
      <c r="G93" s="1117"/>
    </row>
    <row r="94" spans="2:14" ht="15" customHeight="1">
      <c r="E94" s="1124" t="s">
        <v>2247</v>
      </c>
      <c r="G94" s="1116">
        <f>IFERROR(INDEX(N87:N89,MATCH(LEFT(G90,17),L87:L89,0)),0)</f>
        <v>20000</v>
      </c>
    </row>
    <row r="95" spans="2:14" ht="15" customHeight="1">
      <c r="E95" s="1124" t="str">
        <f>E64</f>
        <v>Bedroom-Adjusted Low-Income Units</v>
      </c>
      <c r="F95" s="1155" t="s">
        <v>2304</v>
      </c>
      <c r="G95" s="1156">
        <f>G27</f>
        <v>173.6</v>
      </c>
    </row>
    <row r="96" spans="2:14" ht="15" customHeight="1">
      <c r="D96" s="1081"/>
      <c r="E96" s="1160" t="s">
        <v>2246</v>
      </c>
      <c r="F96" s="1081"/>
      <c r="G96" s="1165">
        <f>G95*G94*G92</f>
        <v>3472000</v>
      </c>
    </row>
    <row r="97" spans="2:9" ht="15" customHeight="1"/>
    <row r="98" spans="2:9" ht="15" customHeight="1">
      <c r="B98" s="1104" t="s">
        <v>2259</v>
      </c>
      <c r="C98" s="1105"/>
      <c r="D98" s="1105"/>
      <c r="E98" s="1105"/>
      <c r="F98" s="1105"/>
      <c r="G98" s="1105"/>
      <c r="H98" s="1105"/>
      <c r="I98" s="1106"/>
    </row>
    <row r="99" spans="2:9" ht="15" customHeight="1"/>
    <row r="100" spans="2:9" ht="15" customHeight="1">
      <c r="F100" s="1158" t="s">
        <v>2285</v>
      </c>
      <c r="G100" s="1078" t="s">
        <v>678</v>
      </c>
    </row>
    <row r="101" spans="2:9" ht="15" customHeight="1">
      <c r="F101" s="1158"/>
    </row>
    <row r="102" spans="2:9" ht="15" customHeight="1">
      <c r="E102" s="1124" t="s">
        <v>2311</v>
      </c>
      <c r="G102" s="1117" t="b">
        <f>G100="Yes"</f>
        <v>0</v>
      </c>
    </row>
    <row r="103" spans="2:9" ht="15" customHeight="1"/>
    <row r="104" spans="2:9" ht="15" customHeight="1">
      <c r="E104" s="1124" t="str">
        <f>E64</f>
        <v>Bedroom-Adjusted Low-Income Units</v>
      </c>
      <c r="G104" s="1156">
        <f>G27</f>
        <v>173.6</v>
      </c>
    </row>
    <row r="105" spans="2:9" ht="15" customHeight="1">
      <c r="E105" s="1124" t="s">
        <v>2247</v>
      </c>
      <c r="F105" s="1155" t="s">
        <v>2304</v>
      </c>
      <c r="G105" s="1085">
        <v>20000</v>
      </c>
    </row>
    <row r="106" spans="2:9" ht="15" customHeight="1">
      <c r="E106" s="1160" t="s">
        <v>2276</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50" t="s">
        <v>2792</v>
      </c>
      <c r="D110" s="2150"/>
      <c r="E110" s="2150"/>
      <c r="F110" s="2150"/>
    </row>
    <row r="111" spans="2:9" ht="15" customHeight="1">
      <c r="C111" s="2150"/>
      <c r="D111" s="2150"/>
      <c r="E111" s="2150"/>
      <c r="F111" s="2150"/>
      <c r="G111" s="1078" t="s">
        <v>554</v>
      </c>
    </row>
    <row r="112" spans="2:9" ht="15" customHeight="1"/>
    <row r="113" spans="2:9" ht="15" customHeight="1">
      <c r="C113" s="1079" t="s">
        <v>2793</v>
      </c>
      <c r="G113" s="2151" t="s">
        <v>2806</v>
      </c>
      <c r="H113" s="2151"/>
    </row>
    <row r="114" spans="2:9" ht="15" customHeight="1">
      <c r="G114" s="2151"/>
      <c r="H114" s="2151"/>
    </row>
    <row r="115" spans="2:9" ht="15" customHeight="1">
      <c r="G115" s="2152"/>
      <c r="H115" s="2152"/>
    </row>
    <row r="116" spans="2:9" ht="15" customHeight="1">
      <c r="G116" s="1269"/>
      <c r="H116" s="1269"/>
    </row>
    <row r="117" spans="2:9" ht="15" customHeight="1">
      <c r="B117" s="1104" t="s">
        <v>2313</v>
      </c>
      <c r="C117" s="1105"/>
      <c r="D117" s="1105"/>
      <c r="E117" s="1105"/>
      <c r="F117" s="1105"/>
      <c r="G117" s="1105"/>
      <c r="H117" s="1105"/>
      <c r="I117" s="1106"/>
    </row>
    <row r="118" spans="2:9" ht="15" customHeight="1"/>
    <row r="119" spans="2:9" ht="15" customHeight="1">
      <c r="E119" s="1124" t="s">
        <v>591</v>
      </c>
      <c r="G119" s="1079" t="str">
        <f>IF(Application!T189="","",Application!T189)</f>
        <v>San Diego</v>
      </c>
    </row>
    <row r="120" spans="2:9" ht="15" customHeight="1">
      <c r="E120" s="1124"/>
      <c r="G120" s="1116"/>
    </row>
    <row r="121" spans="2:9" ht="15" customHeight="1">
      <c r="E121" s="1124" t="str">
        <f>"2-Bedroom "&amp;G119&amp;" County Basis Limit"</f>
        <v>2-Bedroom San Diego County Basis Limit</v>
      </c>
      <c r="G121" s="1116">
        <f>Application!R987</f>
        <v>491200</v>
      </c>
    </row>
    <row r="122" spans="2:9" ht="15" customHeight="1">
      <c r="E122" s="1124" t="s">
        <v>2312</v>
      </c>
      <c r="G122" s="1116">
        <f>MEDIAN((Application!BR806:BR863))</f>
        <v>489600</v>
      </c>
    </row>
    <row r="123" spans="2:9" ht="15" customHeight="1">
      <c r="D123" s="1081"/>
      <c r="E123" s="1160" t="s">
        <v>2314</v>
      </c>
      <c r="F123" s="1176"/>
      <c r="G123" s="1177">
        <f>((G121-G122)/G122)*0.25</f>
        <v>8.1699346405228761E-4</v>
      </c>
      <c r="H123" s="1077"/>
      <c r="I123" s="1077"/>
    </row>
    <row r="124" spans="2:9" ht="15" customHeight="1">
      <c r="D124" s="1080"/>
      <c r="E124" s="1080"/>
    </row>
  </sheetData>
  <sheetProtection algorithmName="SHA-512" hashValue="19VhCI6nAn/fNYZrTFjI1NnMAjzNKoOLh4n4pJW0SCfcDLhjZpOCIVKb4iSbdXnGYHvaOWJkpXXgIZ+FW9+gRQ==" saltValue="GMsPYY2hq9hOCqvDVXNGAg==" spinCount="100000" sheet="1" objects="1" scenarios="1"/>
  <mergeCells count="35">
    <mergeCell ref="L89:M89"/>
    <mergeCell ref="M66:N66"/>
    <mergeCell ref="M67:N67"/>
    <mergeCell ref="M68:N68"/>
    <mergeCell ref="M69:N69"/>
    <mergeCell ref="L87:M87"/>
    <mergeCell ref="M62:N62"/>
    <mergeCell ref="M63:N63"/>
    <mergeCell ref="M64:N64"/>
    <mergeCell ref="M65:N65"/>
    <mergeCell ref="L88:M88"/>
    <mergeCell ref="G9:H9"/>
    <mergeCell ref="G10:H10"/>
    <mergeCell ref="G11:H11"/>
    <mergeCell ref="G13:H13"/>
    <mergeCell ref="A1:J1"/>
    <mergeCell ref="B9:D9"/>
    <mergeCell ref="B10:D10"/>
    <mergeCell ref="B11:D11"/>
    <mergeCell ref="B12:D12"/>
    <mergeCell ref="B8:E8"/>
    <mergeCell ref="G8:I8"/>
    <mergeCell ref="G15:H15"/>
    <mergeCell ref="G20:G21"/>
    <mergeCell ref="B13:D13"/>
    <mergeCell ref="B14:D14"/>
    <mergeCell ref="B15:D15"/>
    <mergeCell ref="B16:D16"/>
    <mergeCell ref="C110:F111"/>
    <mergeCell ref="G113:H115"/>
    <mergeCell ref="C20:C21"/>
    <mergeCell ref="D20:D21"/>
    <mergeCell ref="F20:F21"/>
    <mergeCell ref="E20:E21"/>
    <mergeCell ref="C27:D2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Lindsey Carr</cp:lastModifiedBy>
  <cp:lastPrinted>2024-08-20T16:48:28Z</cp:lastPrinted>
  <dcterms:created xsi:type="dcterms:W3CDTF">2007-12-27T18:26:28Z</dcterms:created>
  <dcterms:modified xsi:type="dcterms:W3CDTF">2024-08-22T20:55:12Z</dcterms:modified>
</cp:coreProperties>
</file>