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S:\Accepted\2024\02 December 11, 2024\24-619 Ephesian Legacy Court\"/>
    </mc:Choice>
  </mc:AlternateContent>
  <xr:revisionPtr revIDLastSave="0" documentId="13_ncr:1_{51410BEB-7401-4FFF-B1EE-7F4E3BC12497}" xr6:coauthVersionLast="47" xr6:coauthVersionMax="47" xr10:uidLastSave="{00000000-0000-0000-0000-000000000000}"/>
  <bookViews>
    <workbookView xWindow="-108" yWindow="-108" windowWidth="41496" windowHeight="16896"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 r:id="rId18"/>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4" l="1"/>
  <c r="F30" i="4"/>
  <c r="L30" i="4"/>
  <c r="Z589" i="3"/>
  <c r="Z588" i="3"/>
  <c r="Z587" i="3"/>
  <c r="Z586" i="3"/>
  <c r="Z581" i="3"/>
  <c r="Z580" i="3"/>
  <c r="Z579" i="3"/>
  <c r="Z578" i="3"/>
  <c r="G581" i="3"/>
  <c r="G580" i="3"/>
  <c r="G579" i="3"/>
  <c r="G578" i="3"/>
  <c r="AA573" i="3"/>
  <c r="Z572" i="3"/>
  <c r="Z571" i="3"/>
  <c r="Z570" i="3"/>
  <c r="Z569" i="3"/>
  <c r="G572" i="3"/>
  <c r="G571" i="3"/>
  <c r="G570" i="3"/>
  <c r="G569" i="3"/>
  <c r="Z654" i="3"/>
  <c r="Z653" i="3"/>
  <c r="Z652" i="3"/>
  <c r="AD190" i="20"/>
  <c r="AD189" i="20"/>
  <c r="AD188" i="20"/>
  <c r="S92" i="4"/>
  <c r="S65" i="4"/>
  <c r="S69" i="4"/>
  <c r="S52" i="4"/>
  <c r="S43" i="4"/>
  <c r="S41" i="4"/>
  <c r="S37" i="4"/>
  <c r="S35" i="4"/>
  <c r="S34" i="4"/>
  <c r="S32" i="4"/>
  <c r="S31" i="4"/>
  <c r="S10" i="4"/>
  <c r="D92" i="4"/>
  <c r="D90" i="4"/>
  <c r="D88" i="4"/>
  <c r="D86" i="4"/>
  <c r="D85" i="4"/>
  <c r="D84" i="4"/>
  <c r="D83" i="4"/>
  <c r="C92" i="4"/>
  <c r="C90" i="4"/>
  <c r="C88" i="4"/>
  <c r="C86" i="4"/>
  <c r="S86" i="4" s="1"/>
  <c r="C85" i="4"/>
  <c r="S85" i="4" s="1"/>
  <c r="C84" i="4"/>
  <c r="S84" i="4" s="1"/>
  <c r="C79" i="4"/>
  <c r="S79" i="4" s="1"/>
  <c r="D79" i="4"/>
  <c r="D76" i="4"/>
  <c r="D75" i="4"/>
  <c r="D74" i="4"/>
  <c r="C76" i="4"/>
  <c r="C75" i="4"/>
  <c r="C74" i="4"/>
  <c r="D69" i="4"/>
  <c r="C69" i="4"/>
  <c r="D65" i="4"/>
  <c r="C65" i="4"/>
  <c r="D58" i="4"/>
  <c r="D56" i="4"/>
  <c r="C58" i="4"/>
  <c r="C56" i="4"/>
  <c r="D52" i="4"/>
  <c r="D51" i="4"/>
  <c r="D50" i="4"/>
  <c r="D49" i="4"/>
  <c r="D45" i="4"/>
  <c r="C52" i="4"/>
  <c r="C51" i="4"/>
  <c r="S51" i="4" s="1"/>
  <c r="C50" i="4"/>
  <c r="S50" i="4" s="1"/>
  <c r="D43" i="4"/>
  <c r="C43" i="4"/>
  <c r="D40" i="4"/>
  <c r="C40" i="4"/>
  <c r="S40" i="4" s="1"/>
  <c r="D36" i="4"/>
  <c r="D35" i="4"/>
  <c r="D32" i="4"/>
  <c r="C36" i="4"/>
  <c r="S36" i="4" s="1"/>
  <c r="C35" i="4"/>
  <c r="C32" i="4"/>
  <c r="C31" i="4"/>
  <c r="C30" i="4"/>
  <c r="S30" i="4" s="1"/>
  <c r="C29" i="4"/>
  <c r="S29" i="4" s="1"/>
  <c r="D31" i="4"/>
  <c r="D30" i="4"/>
  <c r="D29" i="4"/>
  <c r="D10" i="4"/>
  <c r="D6" i="4"/>
  <c r="D5" i="4"/>
  <c r="D4" i="4"/>
  <c r="C10" i="4"/>
  <c r="C6" i="4"/>
  <c r="C5" i="4"/>
  <c r="C4" i="4"/>
  <c r="J99" i="4" l="1"/>
  <c r="D33" i="4"/>
  <c r="C33" i="4"/>
  <c r="S33" i="4" s="1"/>
  <c r="K30" i="4"/>
  <c r="I30" i="4"/>
  <c r="H30" i="4"/>
  <c r="G4" i="4"/>
  <c r="G30" i="4" s="1"/>
  <c r="AF1026" i="3"/>
  <c r="AA947" i="3"/>
  <c r="AO631" i="3"/>
  <c r="AO630" i="3"/>
  <c r="AO629" i="3"/>
  <c r="AA937" i="3" s="1"/>
  <c r="AO628" i="3"/>
  <c r="AO627" i="3"/>
  <c r="AF629" i="3"/>
  <c r="E41" i="7" s="1"/>
  <c r="AF627" i="3"/>
  <c r="W627" i="3"/>
  <c r="T627" i="3"/>
  <c r="Q627" i="3"/>
  <c r="AM560" i="3" l="1"/>
  <c r="AM559" i="3"/>
  <c r="AM557" i="3"/>
  <c r="AM556" i="3"/>
  <c r="Q556" i="3" l="1"/>
  <c r="W554" i="3"/>
  <c r="W555" i="3" s="1"/>
  <c r="W846" i="3" l="1"/>
  <c r="W875" i="3"/>
  <c r="W871" i="3"/>
  <c r="W859" i="3"/>
  <c r="O160" i="3" l="1"/>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I6" i="8"/>
  <c r="J6" i="8" s="1"/>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B66" i="4"/>
  <c r="E66" i="4" s="1"/>
  <c r="B67" i="4"/>
  <c r="E67" i="4" s="1"/>
  <c r="B68" i="4"/>
  <c r="E68" i="4" s="1"/>
  <c r="B69" i="4"/>
  <c r="E69" i="4" s="1"/>
  <c r="E70" i="4" s="1"/>
  <c r="R66" i="4"/>
  <c r="R67" i="4"/>
  <c r="R68" i="4"/>
  <c r="A104" i="11"/>
  <c r="C101" i="11"/>
  <c r="C102" i="11"/>
  <c r="C103" i="11"/>
  <c r="D103" i="11" s="1"/>
  <c r="C104" i="11"/>
  <c r="D104" i="11" s="1"/>
  <c r="B101" i="11"/>
  <c r="B102" i="11"/>
  <c r="D102" i="11" s="1"/>
  <c r="B103" i="11"/>
  <c r="B104" i="11"/>
  <c r="C85" i="11"/>
  <c r="C86" i="11"/>
  <c r="C87" i="11"/>
  <c r="C88" i="11"/>
  <c r="C89" i="11"/>
  <c r="C91" i="11"/>
  <c r="C92" i="11"/>
  <c r="D92" i="11" s="1"/>
  <c r="C93" i="11"/>
  <c r="C94" i="11"/>
  <c r="C95" i="11"/>
  <c r="C96" i="11"/>
  <c r="D96" i="11" s="1"/>
  <c r="B85" i="11"/>
  <c r="B86" i="11"/>
  <c r="D86" i="11" s="1"/>
  <c r="B87" i="11"/>
  <c r="B88" i="11"/>
  <c r="B89" i="11"/>
  <c r="D89" i="11" s="1"/>
  <c r="B91" i="11"/>
  <c r="B92" i="11"/>
  <c r="B93" i="11"/>
  <c r="B94" i="11"/>
  <c r="B95" i="11"/>
  <c r="B96" i="11"/>
  <c r="A70" i="11"/>
  <c r="C67" i="11"/>
  <c r="C68" i="11"/>
  <c r="C69" i="11"/>
  <c r="C70" i="11"/>
  <c r="B67" i="11"/>
  <c r="B68" i="11"/>
  <c r="B69" i="11"/>
  <c r="B70" i="11"/>
  <c r="A62" i="11"/>
  <c r="A54" i="11"/>
  <c r="A38" i="11"/>
  <c r="A26" i="11"/>
  <c r="C31" i="11"/>
  <c r="D31" i="11" s="1"/>
  <c r="C32" i="11"/>
  <c r="C33" i="11"/>
  <c r="C34" i="11"/>
  <c r="C35" i="11"/>
  <c r="C36" i="11"/>
  <c r="C37" i="11"/>
  <c r="C38" i="11"/>
  <c r="B31" i="11"/>
  <c r="B32" i="11"/>
  <c r="B33" i="11"/>
  <c r="B34" i="11"/>
  <c r="B35" i="11"/>
  <c r="B36" i="11"/>
  <c r="D36" i="11" s="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E100" i="4" s="1"/>
  <c r="R100"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B59" i="4"/>
  <c r="E59" i="4" s="1"/>
  <c r="C80" i="11"/>
  <c r="B80" i="11"/>
  <c r="D80" i="11" s="1"/>
  <c r="I96" i="13"/>
  <c r="J96" i="13"/>
  <c r="J81" i="13"/>
  <c r="I81" i="13"/>
  <c r="G81" i="13"/>
  <c r="F81" i="13"/>
  <c r="D81" i="13"/>
  <c r="C81" i="13"/>
  <c r="H80" i="13"/>
  <c r="S70" i="4"/>
  <c r="E70" i="13" s="1"/>
  <c r="F81" i="4"/>
  <c r="G81" i="4"/>
  <c r="H81" i="4"/>
  <c r="I81" i="4"/>
  <c r="J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7" i="13"/>
  <c r="E86" i="13"/>
  <c r="E85" i="13"/>
  <c r="E84" i="13"/>
  <c r="E79" i="13"/>
  <c r="E65" i="13"/>
  <c r="E53" i="13"/>
  <c r="E52" i="13"/>
  <c r="E51" i="13"/>
  <c r="E50" i="13"/>
  <c r="E48" i="13"/>
  <c r="E47"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8" i="13"/>
  <c r="B87" i="13"/>
  <c r="B86" i="13"/>
  <c r="B85" i="13"/>
  <c r="B84" i="13"/>
  <c r="B79" i="13"/>
  <c r="B76" i="13"/>
  <c r="B75" i="13"/>
  <c r="B74" i="13"/>
  <c r="B73" i="13"/>
  <c r="B72" i="13"/>
  <c r="B65" i="13"/>
  <c r="B61" i="13"/>
  <c r="B60" i="13"/>
  <c r="B59" i="13"/>
  <c r="B58" i="13"/>
  <c r="B57" i="13"/>
  <c r="B56" i="13"/>
  <c r="B53" i="13"/>
  <c r="B52" i="13"/>
  <c r="B51" i="13"/>
  <c r="B50" i="13"/>
  <c r="B48" i="13"/>
  <c r="B47"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95" i="4"/>
  <c r="R94" i="4"/>
  <c r="R93" i="4"/>
  <c r="R69" i="4"/>
  <c r="R61" i="4"/>
  <c r="R59" i="4"/>
  <c r="R50" i="4"/>
  <c r="R48" i="4"/>
  <c r="R41" i="4"/>
  <c r="R37" i="4"/>
  <c r="R27" i="4"/>
  <c r="R25" i="4"/>
  <c r="R23" i="4"/>
  <c r="R22" i="4"/>
  <c r="R21" i="4"/>
  <c r="R20" i="4"/>
  <c r="R19" i="4"/>
  <c r="R18" i="4"/>
  <c r="R17" i="4"/>
  <c r="R15" i="4"/>
  <c r="R14" i="4"/>
  <c r="R13" i="4"/>
  <c r="R9" i="4"/>
  <c r="B5" i="11"/>
  <c r="C5" i="11"/>
  <c r="D5" i="11" s="1"/>
  <c r="B6" i="11"/>
  <c r="C6" i="11"/>
  <c r="D6" i="11" s="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8" i="11"/>
  <c r="D48" i="11" s="1"/>
  <c r="B49" i="11"/>
  <c r="D49" i="11" s="1"/>
  <c r="B51" i="11"/>
  <c r="B52" i="11"/>
  <c r="B53" i="11"/>
  <c r="C48" i="11"/>
  <c r="C49" i="11"/>
  <c r="C51" i="11"/>
  <c r="D51" i="11" s="1"/>
  <c r="C52" i="11"/>
  <c r="C53" i="11"/>
  <c r="D53" i="11" s="1"/>
  <c r="B57" i="11"/>
  <c r="C57" i="11"/>
  <c r="B58" i="11"/>
  <c r="C58" i="11"/>
  <c r="B59" i="11"/>
  <c r="C59" i="11"/>
  <c r="D59" i="11" s="1"/>
  <c r="B60" i="11"/>
  <c r="C60" i="11"/>
  <c r="C63" i="11" s="1"/>
  <c r="B61" i="11"/>
  <c r="B63" i="11" s="1"/>
  <c r="C61" i="11"/>
  <c r="B62" i="11"/>
  <c r="C62" i="11"/>
  <c r="D62" i="11" s="1"/>
  <c r="B66" i="11"/>
  <c r="B71" i="11" s="1"/>
  <c r="C66" i="11"/>
  <c r="D66" i="11" s="1"/>
  <c r="B73" i="11"/>
  <c r="C73" i="11"/>
  <c r="D73" i="11" s="1"/>
  <c r="B74" i="11"/>
  <c r="C74" i="11"/>
  <c r="D74" i="11" s="1"/>
  <c r="B75" i="11"/>
  <c r="C75" i="11"/>
  <c r="D75" i="11" s="1"/>
  <c r="B76" i="11"/>
  <c r="C76" i="11"/>
  <c r="D76" i="11" s="1"/>
  <c r="B77" i="11"/>
  <c r="C77" i="11"/>
  <c r="D77"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62" i="4"/>
  <c r="B62" i="13" s="1"/>
  <c r="C77" i="4"/>
  <c r="B77" i="13"/>
  <c r="D8" i="4"/>
  <c r="D11" i="4"/>
  <c r="D12" i="4" s="1"/>
  <c r="D26" i="4"/>
  <c r="D38" i="4"/>
  <c r="D42" i="4"/>
  <c r="D62" i="4"/>
  <c r="B62" i="4" s="1"/>
  <c r="D77" i="4"/>
  <c r="E26" i="13"/>
  <c r="S38" i="4"/>
  <c r="E38" i="13"/>
  <c r="S42" i="4"/>
  <c r="E42" i="13"/>
  <c r="F2" i="4"/>
  <c r="G2" i="4"/>
  <c r="H2" i="4"/>
  <c r="I2" i="4"/>
  <c r="J2" i="4"/>
  <c r="K2" i="4"/>
  <c r="L2" i="4"/>
  <c r="M2" i="4"/>
  <c r="N2" i="4"/>
  <c r="O2" i="4"/>
  <c r="P2" i="4"/>
  <c r="Q2" i="4"/>
  <c r="B4" i="4"/>
  <c r="E4" i="4" s="1"/>
  <c r="R4" i="4" s="1"/>
  <c r="B5" i="4"/>
  <c r="E5" i="4" s="1"/>
  <c r="R5" i="4" s="1"/>
  <c r="B6" i="4"/>
  <c r="E6" i="4" s="1"/>
  <c r="R6" i="4" s="1"/>
  <c r="B7" i="4"/>
  <c r="E7" i="4" s="1"/>
  <c r="R7"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E9" i="4" s="1"/>
  <c r="B10" i="4"/>
  <c r="E10" i="4" s="1"/>
  <c r="R10" i="4" s="1"/>
  <c r="F11" i="4"/>
  <c r="F26" i="4"/>
  <c r="F38" i="4"/>
  <c r="F42" i="4"/>
  <c r="F54" i="4"/>
  <c r="F62" i="4"/>
  <c r="N11" i="4"/>
  <c r="O11" i="4"/>
  <c r="B13" i="4"/>
  <c r="B14" i="4"/>
  <c r="B15" i="4"/>
  <c r="B17" i="4"/>
  <c r="B18" i="4"/>
  <c r="B19" i="4"/>
  <c r="B20" i="4"/>
  <c r="B21" i="4"/>
  <c r="B22" i="4"/>
  <c r="B23" i="4"/>
  <c r="B25" i="4"/>
  <c r="E26" i="4"/>
  <c r="G26" i="4"/>
  <c r="H26" i="4"/>
  <c r="I26" i="4"/>
  <c r="I38" i="4"/>
  <c r="I63" i="4" s="1"/>
  <c r="I97"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B30" i="4"/>
  <c r="B31" i="4"/>
  <c r="E31" i="4" s="1"/>
  <c r="R31" i="4" s="1"/>
  <c r="B32" i="4"/>
  <c r="E32" i="4" s="1"/>
  <c r="R32" i="4" s="1"/>
  <c r="B33" i="4"/>
  <c r="E33" i="4" s="1"/>
  <c r="R33" i="4" s="1"/>
  <c r="B34" i="4"/>
  <c r="E34" i="4" s="1"/>
  <c r="R34" i="4" s="1"/>
  <c r="B35" i="4"/>
  <c r="E35" i="4" s="1"/>
  <c r="R35" i="4" s="1"/>
  <c r="B37" i="4"/>
  <c r="E37" i="4" s="1"/>
  <c r="G38" i="4"/>
  <c r="H38" i="4"/>
  <c r="K38" i="4"/>
  <c r="K63" i="4" s="1"/>
  <c r="K97" i="4" s="1"/>
  <c r="K105" i="4" s="1"/>
  <c r="O38" i="4"/>
  <c r="P38" i="4"/>
  <c r="P42" i="4"/>
  <c r="P54" i="4"/>
  <c r="P62" i="4"/>
  <c r="P70" i="4"/>
  <c r="P77" i="4"/>
  <c r="P96" i="4"/>
  <c r="P104" i="4"/>
  <c r="Q38" i="4"/>
  <c r="B40" i="4"/>
  <c r="E40" i="4" s="1"/>
  <c r="E42" i="4" s="1"/>
  <c r="B41" i="4"/>
  <c r="E41" i="4" s="1"/>
  <c r="G42" i="4"/>
  <c r="H42" i="4"/>
  <c r="K42" i="4"/>
  <c r="L42" i="4"/>
  <c r="O42" i="4"/>
  <c r="Q42" i="4"/>
  <c r="B43" i="4"/>
  <c r="E43" i="4" s="1"/>
  <c r="R43" i="4" s="1"/>
  <c r="B47" i="4"/>
  <c r="E47" i="4" s="1"/>
  <c r="R47" i="4" s="1"/>
  <c r="B48" i="4"/>
  <c r="E48" i="4" s="1"/>
  <c r="B50" i="4"/>
  <c r="E50" i="4" s="1"/>
  <c r="B51" i="4"/>
  <c r="E51" i="4" s="1"/>
  <c r="R51" i="4" s="1"/>
  <c r="B52" i="4"/>
  <c r="E52" i="4" s="1"/>
  <c r="R52" i="4" s="1"/>
  <c r="B53" i="4"/>
  <c r="E53" i="4" s="1"/>
  <c r="R53" i="4" s="1"/>
  <c r="G54" i="4"/>
  <c r="H54" i="4"/>
  <c r="K54" i="4"/>
  <c r="L54" i="4"/>
  <c r="O54" i="4"/>
  <c r="Q54" i="4"/>
  <c r="B56" i="4"/>
  <c r="E56" i="4" s="1"/>
  <c r="B57" i="4"/>
  <c r="E57" i="4" s="1"/>
  <c r="R57" i="4" s="1"/>
  <c r="B58" i="4"/>
  <c r="E58" i="4" s="1"/>
  <c r="R58" i="4" s="1"/>
  <c r="B60" i="4"/>
  <c r="E60" i="4" s="1"/>
  <c r="R60" i="4" s="1"/>
  <c r="B61" i="4"/>
  <c r="E61" i="4" s="1"/>
  <c r="G62" i="4"/>
  <c r="H62" i="4"/>
  <c r="K62" i="4"/>
  <c r="L62" i="4"/>
  <c r="O62" i="4"/>
  <c r="O70" i="4"/>
  <c r="O77" i="4"/>
  <c r="O96" i="4"/>
  <c r="O104" i="4"/>
  <c r="Q62" i="4"/>
  <c r="B65" i="4"/>
  <c r="E65" i="4" s="1"/>
  <c r="R65" i="4" s="1"/>
  <c r="R70" i="4" s="1"/>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79" i="4"/>
  <c r="E79" i="4" s="1"/>
  <c r="R79" i="4" s="1"/>
  <c r="B84" i="4"/>
  <c r="E84" i="4" s="1"/>
  <c r="R84" i="4" s="1"/>
  <c r="B85" i="4"/>
  <c r="B86" i="4"/>
  <c r="E86" i="4" s="1"/>
  <c r="R86" i="4" s="1"/>
  <c r="B87" i="4"/>
  <c r="E87" i="4" s="1"/>
  <c r="R87" i="4" s="1"/>
  <c r="B88" i="4"/>
  <c r="E88" i="4" s="1"/>
  <c r="R88" i="4" s="1"/>
  <c r="B90" i="4"/>
  <c r="E90" i="4" s="1"/>
  <c r="R90" i="4" s="1"/>
  <c r="B91" i="4"/>
  <c r="E91" i="4" s="1"/>
  <c r="R91" i="4" s="1"/>
  <c r="B92" i="4"/>
  <c r="E92" i="4" s="1"/>
  <c r="R92" i="4" s="1"/>
  <c r="B93" i="4"/>
  <c r="E93" i="4" s="1"/>
  <c r="B94" i="4"/>
  <c r="E94" i="4" s="1"/>
  <c r="B95" i="4"/>
  <c r="E95" i="4" s="1"/>
  <c r="F96" i="4"/>
  <c r="G96" i="4"/>
  <c r="H96" i="4"/>
  <c r="I96" i="4"/>
  <c r="K96" i="4"/>
  <c r="L96" i="4"/>
  <c r="Q96" i="4"/>
  <c r="B101" i="4"/>
  <c r="E101" i="4" s="1"/>
  <c r="R101" i="4" s="1"/>
  <c r="B102" i="4"/>
  <c r="E102" i="4" s="1"/>
  <c r="R102" i="4" s="1"/>
  <c r="B103" i="4"/>
  <c r="E103" i="4" s="1"/>
  <c r="R103" i="4" s="1"/>
  <c r="F104" i="4"/>
  <c r="G104" i="4"/>
  <c r="H104" i="4"/>
  <c r="I104" i="4"/>
  <c r="K104" i="4"/>
  <c r="L104" i="4"/>
  <c r="Q104" i="4"/>
  <c r="F108" i="4"/>
  <c r="G108" i="4"/>
  <c r="H108" i="4"/>
  <c r="I108" i="4"/>
  <c r="J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J63" i="13"/>
  <c r="J97" i="13"/>
  <c r="J105" i="13"/>
  <c r="J107" i="13"/>
  <c r="L12" i="4"/>
  <c r="I12" i="4"/>
  <c r="G12" i="4"/>
  <c r="Q12" i="4"/>
  <c r="O63" i="4"/>
  <c r="O97" i="4"/>
  <c r="O105" i="4"/>
  <c r="D18" i="11"/>
  <c r="G63" i="13"/>
  <c r="G97" i="13"/>
  <c r="G105" i="13"/>
  <c r="G107" i="13"/>
  <c r="D61" i="11"/>
  <c r="D57" i="11"/>
  <c r="D20" i="11"/>
  <c r="D8" i="11"/>
  <c r="D94" i="11"/>
  <c r="K12" i="4"/>
  <c r="C43" i="11"/>
  <c r="C12" i="13"/>
  <c r="J12" i="4"/>
  <c r="D22" i="11"/>
  <c r="O12" i="4"/>
  <c r="D95" i="11"/>
  <c r="D25" i="11"/>
  <c r="H12" i="4"/>
  <c r="D23" i="11"/>
  <c r="D19" i="11"/>
  <c r="D35" i="11"/>
  <c r="D15" i="11"/>
  <c r="D63" i="13"/>
  <c r="D97" i="13"/>
  <c r="D105" i="13"/>
  <c r="D14" i="11"/>
  <c r="Q63" i="4"/>
  <c r="Q97" i="4"/>
  <c r="Q105" i="4"/>
  <c r="N63" i="4"/>
  <c r="N97" i="4"/>
  <c r="N105" i="4"/>
  <c r="N12" i="4"/>
  <c r="H63" i="4"/>
  <c r="H97" i="4"/>
  <c r="F12" i="4"/>
  <c r="D60" i="11"/>
  <c r="M12" i="4"/>
  <c r="D38" i="11"/>
  <c r="P63" i="4"/>
  <c r="P97" i="4"/>
  <c r="P105" i="4"/>
  <c r="D12" i="13"/>
  <c r="D58" i="11"/>
  <c r="D24" i="11"/>
  <c r="D101" i="11"/>
  <c r="C63" i="13"/>
  <c r="C97" i="13"/>
  <c r="C105" i="13"/>
  <c r="D28" i="11"/>
  <c r="D88" i="11"/>
  <c r="D42" i="11"/>
  <c r="D21" i="11"/>
  <c r="D16" i="11"/>
  <c r="R26" i="4"/>
  <c r="F63" i="13"/>
  <c r="F97" i="13"/>
  <c r="F105" i="13"/>
  <c r="F107" i="13"/>
  <c r="AD199" i="20"/>
  <c r="B42" i="4"/>
  <c r="M63" i="4"/>
  <c r="M97" i="4"/>
  <c r="M105" i="4"/>
  <c r="J63" i="4"/>
  <c r="J97" i="4"/>
  <c r="J105" i="4"/>
  <c r="T63" i="4"/>
  <c r="T97" i="4"/>
  <c r="H63" i="13"/>
  <c r="T105" i="4"/>
  <c r="H97" i="13"/>
  <c r="T107" i="4"/>
  <c r="H105" i="13"/>
  <c r="H107" i="13"/>
  <c r="AD11" i="15"/>
  <c r="R11" i="4" l="1"/>
  <c r="H105" i="4"/>
  <c r="F63" i="4"/>
  <c r="F97" i="4" s="1"/>
  <c r="D30" i="11"/>
  <c r="B11" i="4"/>
  <c r="B39" i="11"/>
  <c r="D7" i="11"/>
  <c r="D33" i="11"/>
  <c r="E11" i="4"/>
  <c r="D44" i="11"/>
  <c r="B9" i="11"/>
  <c r="D32" i="11"/>
  <c r="D85" i="11"/>
  <c r="D91" i="11"/>
  <c r="D87" i="11"/>
  <c r="D93" i="11"/>
  <c r="B77" i="4"/>
  <c r="B78" i="11"/>
  <c r="E77" i="4"/>
  <c r="E62" i="4"/>
  <c r="D70" i="11"/>
  <c r="D52" i="11"/>
  <c r="D41" i="11"/>
  <c r="D34" i="11"/>
  <c r="B38" i="4"/>
  <c r="D11" i="11"/>
  <c r="B11" i="13"/>
  <c r="C12" i="11"/>
  <c r="D12" i="11" s="1"/>
  <c r="B12" i="11"/>
  <c r="G63" i="4"/>
  <c r="G97" i="4" s="1"/>
  <c r="G105" i="4"/>
  <c r="F105" i="4"/>
  <c r="I105" i="4"/>
  <c r="E85" i="4"/>
  <c r="N186" i="27"/>
  <c r="R77" i="4"/>
  <c r="C78" i="11"/>
  <c r="D78" i="11" s="1"/>
  <c r="C71" i="11"/>
  <c r="D71" i="11" s="1"/>
  <c r="B70" i="4"/>
  <c r="D63" i="11"/>
  <c r="R56" i="4"/>
  <c r="R62" i="4" s="1"/>
  <c r="D54" i="11"/>
  <c r="B43" i="11"/>
  <c r="D43" i="11" s="1"/>
  <c r="R40" i="4"/>
  <c r="R42" i="4" s="1"/>
  <c r="R8" i="4"/>
  <c r="B13" i="11"/>
  <c r="C12" i="4"/>
  <c r="B12" i="13" s="1"/>
  <c r="E8" i="4"/>
  <c r="C9" i="11"/>
  <c r="C39" i="11"/>
  <c r="D39" i="11" s="1"/>
  <c r="D10" i="11"/>
  <c r="R29" i="4"/>
  <c r="B8" i="4"/>
  <c r="AH723" i="3"/>
  <c r="AH722" i="3"/>
  <c r="AH721" i="3"/>
  <c r="AH720" i="3"/>
  <c r="AH719" i="3"/>
  <c r="AH718" i="3"/>
  <c r="G67" i="21"/>
  <c r="AD23" i="15"/>
  <c r="AD26" i="15"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I15" i="7"/>
  <c r="E26" i="21"/>
  <c r="E23" i="21"/>
  <c r="F23" i="21" s="1"/>
  <c r="G23" i="21" s="1"/>
  <c r="R85" i="4" l="1"/>
  <c r="N187" i="27"/>
  <c r="N193" i="27" s="1"/>
  <c r="B12" i="4"/>
  <c r="D9" i="11"/>
  <c r="C13" i="11"/>
  <c r="D13" i="11" s="1"/>
  <c r="E12" i="4"/>
  <c r="R12" i="4"/>
  <c r="AY1004" i="3"/>
  <c r="AS349" i="20"/>
  <c r="DX635" i="3"/>
  <c r="BH702" i="3"/>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V698" i="3" s="1"/>
  <c r="BU684" i="3"/>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U699" i="3"/>
  <c r="BH674" i="3"/>
  <c r="BH675" i="3"/>
  <c r="BI675" i="3" s="1"/>
  <c r="BH683" i="3"/>
  <c r="BI683" i="3" s="1"/>
  <c r="BH691" i="3"/>
  <c r="BI691" i="3" s="1"/>
  <c r="BH699" i="3"/>
  <c r="BI699" i="3" s="1"/>
  <c r="BH676" i="3"/>
  <c r="BH684" i="3"/>
  <c r="BI684" i="3" s="1"/>
  <c r="BH692" i="3"/>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BI692" i="3"/>
  <c r="BV691" i="3"/>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BV684" i="3"/>
  <c r="BV685" i="3"/>
  <c r="BV689"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4" i="3"/>
  <c r="BI686" i="3"/>
  <c r="EH637" i="3"/>
  <c r="DR657" i="3"/>
  <c r="EM632" i="3"/>
  <c r="EM635" i="3"/>
  <c r="BI676" i="3"/>
  <c r="EM643" i="3"/>
  <c r="E6" i="7"/>
  <c r="K15" i="7"/>
  <c r="I22" i="7"/>
  <c r="I35" i="7" s="1"/>
  <c r="E27" i="21"/>
  <c r="G22" i="21"/>
  <c r="O25" i="21" l="1"/>
  <c r="P25" i="21" s="1" a="1"/>
  <c r="P25" i="21" s="1"/>
  <c r="R25"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T24" i="15" l="1"/>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E97" i="20"/>
  <c r="E100" i="20" s="1"/>
  <c r="Y68" i="15" l="1"/>
  <c r="Y69" i="15"/>
  <c r="AM554" i="3"/>
  <c r="AM555" i="3"/>
  <c r="AA918" i="3" s="1"/>
  <c r="AM558" i="3"/>
  <c r="AM561" i="3"/>
  <c r="AM562" i="3"/>
  <c r="AO632" i="3"/>
  <c r="K108" i="4" s="1"/>
  <c r="AO633" i="3"/>
  <c r="AO640" i="3"/>
  <c r="AE699" i="3"/>
  <c r="AA917" i="3"/>
  <c r="AB50" i="15"/>
  <c r="B46" i="11"/>
  <c r="B45" i="13"/>
  <c r="E30" i="4"/>
  <c r="L38" i="4"/>
  <c r="L63" i="4" s="1"/>
  <c r="L97" i="4" s="1"/>
  <c r="L105" i="4" s="1"/>
  <c r="C45" i="4"/>
  <c r="C46" i="11" s="1"/>
  <c r="D46" i="11" s="1"/>
  <c r="S45" i="4"/>
  <c r="E45" i="13" s="1"/>
  <c r="C46" i="4"/>
  <c r="D46" i="4"/>
  <c r="S46" i="4"/>
  <c r="E46" i="13" s="1"/>
  <c r="C49" i="4"/>
  <c r="C50" i="11" s="1"/>
  <c r="S49" i="4"/>
  <c r="E49" i="13" s="1"/>
  <c r="D54" i="4"/>
  <c r="D63" i="4" s="1"/>
  <c r="C80" i="4"/>
  <c r="C81" i="4" s="1"/>
  <c r="D80" i="4"/>
  <c r="D81" i="4"/>
  <c r="C83" i="4"/>
  <c r="C89" i="4"/>
  <c r="D89" i="4"/>
  <c r="D96" i="4" s="1"/>
  <c r="S89" i="4"/>
  <c r="E89" i="13" s="1"/>
  <c r="C96" i="4"/>
  <c r="S96" i="4"/>
  <c r="E96" i="13" s="1"/>
  <c r="C99" i="4"/>
  <c r="S99" i="4" s="1"/>
  <c r="D99" i="4"/>
  <c r="D104" i="4"/>
  <c r="E108" i="4"/>
  <c r="L108" i="4"/>
  <c r="I9" i="21"/>
  <c r="C100" i="11" l="1"/>
  <c r="AM566" i="3"/>
  <c r="B50" i="11"/>
  <c r="D50" i="11" s="1"/>
  <c r="AO639" i="3"/>
  <c r="AO641" i="3" s="1"/>
  <c r="B99" i="4"/>
  <c r="E99" i="4" s="1"/>
  <c r="R99" i="4" s="1"/>
  <c r="R104" i="4" s="1"/>
  <c r="B45" i="4"/>
  <c r="E45" i="4" s="1"/>
  <c r="B49" i="13"/>
  <c r="S104" i="4"/>
  <c r="E104" i="13" s="1"/>
  <c r="E99" i="13"/>
  <c r="D97" i="4"/>
  <c r="D105" i="4" s="1"/>
  <c r="B46" i="4"/>
  <c r="E46" i="4" s="1"/>
  <c r="R46" i="4" s="1"/>
  <c r="B47" i="11"/>
  <c r="C47" i="11"/>
  <c r="B46" i="13"/>
  <c r="C105" i="11"/>
  <c r="D105" i="11" s="1"/>
  <c r="B96" i="13"/>
  <c r="B96" i="4"/>
  <c r="B84" i="11"/>
  <c r="B83" i="13"/>
  <c r="C54" i="4"/>
  <c r="B55" i="11"/>
  <c r="B64" i="11" s="1"/>
  <c r="C90" i="11"/>
  <c r="B89" i="13"/>
  <c r="B90" i="11"/>
  <c r="B83" i="4"/>
  <c r="E83" i="4" s="1"/>
  <c r="B81" i="4"/>
  <c r="B81" i="11"/>
  <c r="B82" i="11" s="1"/>
  <c r="C81" i="11"/>
  <c r="B80" i="13"/>
  <c r="R45" i="4"/>
  <c r="B100" i="11"/>
  <c r="B105" i="11" s="1"/>
  <c r="B99" i="13"/>
  <c r="C104" i="4"/>
  <c r="B89" i="4"/>
  <c r="E89" i="4" s="1"/>
  <c r="R89" i="4" s="1"/>
  <c r="S80" i="4"/>
  <c r="B80" i="4"/>
  <c r="E80" i="4" s="1"/>
  <c r="S54" i="4"/>
  <c r="E38" i="4"/>
  <c r="R30" i="4"/>
  <c r="R38" i="4" s="1"/>
  <c r="B81" i="13"/>
  <c r="C84" i="11"/>
  <c r="B49" i="4"/>
  <c r="E49" i="4" s="1"/>
  <c r="R49" i="4" s="1"/>
  <c r="AB48" i="15" l="1"/>
  <c r="E104" i="4"/>
  <c r="D84" i="11"/>
  <c r="C97" i="11"/>
  <c r="D97" i="11" s="1"/>
  <c r="E54" i="13"/>
  <c r="S63" i="4"/>
  <c r="B104" i="13"/>
  <c r="B104" i="4"/>
  <c r="D81" i="11"/>
  <c r="C82" i="11"/>
  <c r="D82" i="11" s="1"/>
  <c r="C63" i="4"/>
  <c r="B54" i="13"/>
  <c r="B54" i="4"/>
  <c r="B63" i="4" s="1"/>
  <c r="R80" i="4"/>
  <c r="R81" i="4" s="1"/>
  <c r="E81" i="4"/>
  <c r="E54" i="4"/>
  <c r="E63" i="4" s="1"/>
  <c r="E97" i="4" s="1"/>
  <c r="E105" i="4" s="1"/>
  <c r="E80" i="13"/>
  <c r="S81" i="4"/>
  <c r="E81" i="13" s="1"/>
  <c r="R54" i="4"/>
  <c r="R63" i="4" s="1"/>
  <c r="R97" i="4" s="1"/>
  <c r="R105" i="4" s="1"/>
  <c r="D90" i="11"/>
  <c r="B97" i="11"/>
  <c r="D47" i="11"/>
  <c r="C55" i="11"/>
  <c r="E96" i="4"/>
  <c r="R83" i="4"/>
  <c r="R96" i="4" s="1"/>
  <c r="B98" i="11"/>
  <c r="B106" i="11" s="1"/>
  <c r="D100" i="11"/>
  <c r="E63" i="13" l="1"/>
  <c r="S97" i="4"/>
  <c r="C64" i="11"/>
  <c r="D55" i="11"/>
  <c r="B63" i="13"/>
  <c r="C97" i="4"/>
  <c r="C98" i="11" l="1"/>
  <c r="D64" i="11"/>
  <c r="B97" i="13"/>
  <c r="C105" i="4"/>
  <c r="B97" i="4"/>
  <c r="S105" i="4"/>
  <c r="E97" i="13"/>
  <c r="AG258" i="20" l="1"/>
  <c r="AC455" i="3"/>
  <c r="B105" i="13"/>
  <c r="B105" i="4"/>
  <c r="S107" i="4"/>
  <c r="E105" i="13"/>
  <c r="D98" i="11"/>
  <c r="C106" i="11"/>
  <c r="D106" i="11" s="1"/>
  <c r="AC454" i="3" l="1"/>
  <c r="F457" i="3" s="1"/>
  <c r="N183" i="27"/>
  <c r="AB47" i="15"/>
  <c r="AB49" i="15" s="1"/>
  <c r="AB255" i="20"/>
  <c r="AG257" i="20" s="1"/>
  <c r="AG259" i="20" s="1"/>
  <c r="AK262" i="20" s="1"/>
  <c r="T801" i="20" s="1"/>
  <c r="AF801" i="20" s="1"/>
  <c r="AC456" i="3"/>
  <c r="E107" i="13"/>
  <c r="AF540" i="20"/>
  <c r="AF542" i="20" s="1"/>
  <c r="AK548" i="20" s="1"/>
  <c r="T807" i="20" s="1"/>
  <c r="AF807" i="20" s="1"/>
  <c r="AF810" i="20" l="1"/>
  <c r="AB54" i="15"/>
  <c r="AB55" i="15" s="1"/>
  <c r="T11" i="15"/>
  <c r="T23" i="15" s="1"/>
  <c r="Y11" i="15"/>
  <c r="Y23" i="15" s="1"/>
  <c r="Y26" i="15" s="1"/>
  <c r="Y28" i="15" s="1"/>
  <c r="N184" i="27"/>
  <c r="N194" i="27"/>
  <c r="T26" i="15" l="1"/>
  <c r="T28" i="15" s="1"/>
  <c r="T29" i="15" s="1"/>
  <c r="AD38" i="15"/>
  <c r="AD40" i="15" s="1"/>
  <c r="Y38" i="15" l="1"/>
  <c r="Y40" i="15" s="1"/>
  <c r="Y41" i="15" s="1"/>
  <c r="AB56" i="15" s="1"/>
  <c r="AB57" i="15" l="1"/>
  <c r="M26" i="3"/>
  <c r="P204" i="3" s="1"/>
  <c r="AB59" i="15" l="1"/>
  <c r="AB77" i="15" s="1"/>
  <c r="AB78" i="15" s="1"/>
  <c r="AB79" i="15" l="1"/>
  <c r="AB81" i="15" s="1"/>
  <c r="J82" i="15" s="1"/>
  <c r="M27" i="3"/>
  <c r="P205" i="3"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A64EC76F-2A1F-45B3-9E88-6E8DD0F7A338}">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<sst xmlns="http://schemas.openxmlformats.org/spreadsheetml/2006/main" count="5299" uniqueCount="2789">
  <si>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</si>
  <si>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</si>
  <si>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</si>
  <si>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</si>
  <si>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</si>
  <si>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</si>
  <si>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</si>
  <si>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</si>
  <si>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</si>
  <si>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</si>
  <si>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</si>
  <si>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</si>
  <si>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</si>
  <si>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</si>
  <si>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</si>
  <si>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</si>
  <si>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</si>
  <si>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</si>
  <si>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</si>
  <si>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</si>
  <si>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</si>
  <si>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</si>
  <si>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</si>
  <si>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</si>
  <si>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</si>
  <si>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</si>
  <si>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</si>
  <si>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</si>
  <si>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</si>
  <si>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</si>
  <si>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</si>
  <si>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</si>
  <si>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</si>
  <si>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</si>
  <si>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</si>
  <si>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</si>
  <si>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</si>
  <si>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</si>
  <si>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</si>
  <si>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</si>
  <si>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</si>
  <si>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</si>
  <si>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</si>
  <si>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</si>
  <si>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</si>
  <si>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</si>
  <si>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</si>
  <si>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</si>
  <si>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</si>
  <si>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</si>
  <si>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</si>
  <si>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</si>
  <si>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</si>
  <si>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</si>
  <si>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</si>
  <si>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</si>
  <si>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</si>
  <si>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</si>
  <si>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</si>
  <si>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</si>
  <si>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</si>
  <si>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</si>
  <si>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</si>
  <si>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</si>
  <si>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</si>
  <si>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</si>
  <si>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</si>
  <si>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</si>
  <si>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</si>
  <si>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</si>
  <si>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</si>
  <si>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</si>
  <si>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</si>
  <si>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</si>
  <si>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</si>
  <si>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</si>
  <si>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</si>
  <si>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</si>
  <si>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</si>
  <si>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</si>
  <si>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</si>
  <si>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</si>
  <si>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</si>
  <si>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</si>
  <si>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</si>
  <si>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</si>
  <si>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</si>
  <si>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</si>
  <si>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</si>
  <si>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</si>
  <si>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</si>
  <si>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</si>
  <si>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</si>
  <si>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</si>
  <si>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</si>
  <si>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</si>
  <si>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</si>
  <si>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</si>
  <si>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</si>
  <si>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</si>
  <si>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</si>
  <si>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</si>
  <si>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</si>
  <si>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</si>
  <si>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</si>
  <si>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</si>
  <si>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</si>
  <si>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</si>
  <si>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</si>
  <si>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</si>
  <si>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</si>
  <si>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</si>
  <si>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</si>
  <si>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</si>
  <si>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</si>
  <si>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</si>
  <si>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</si>
  <si>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</si>
  <si>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</si>
  <si>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</si>
  <si>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</si>
  <si>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</si>
  <si>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</si>
  <si>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</si>
  <si>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</si>
  <si>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</si>
  <si>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</si>
  <si>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</si>
  <si>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</si>
  <si>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</si>
  <si>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</si>
  <si>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</si>
  <si>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</si>
  <si>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</si>
  <si>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</si>
  <si>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</si>
  <si>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</si>
  <si>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</si>
  <si>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</si>
  <si>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</si>
  <si>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</si>
  <si>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</si>
  <si>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</si>
  <si>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</si>
  <si>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</si>
  <si>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</si>
  <si>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</si>
  <si>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</si>
  <si>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</si>
  <si>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</si>
  <si>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</si>
  <si>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</si>
  <si>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</si>
  <si>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</si>
  <si>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</si>
  <si>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</si>
  <si>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</si>
  <si>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</si>
  <si>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</si>
  <si>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</si>
  <si>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</si>
  <si>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</si>
  <si>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</si>
  <si>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</si>
  <si>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</si>
  <si>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</si>
  <si>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</si>
  <si>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</si>
  <si>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</si>
  <si>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</si>
  <si>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</si>
  <si>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</si>
  <si>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</si>
  <si>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</si>
  <si>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</si>
  <si>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</si>
  <si>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</si>
  <si>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</si>
  <si>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</si>
  <si>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</si>
  <si>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</si>
  <si>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</si>
  <si>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</si>
  <si>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</si>
  <si>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</si>
  <si>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</si>
  <si>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</si>
  <si>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</si>
  <si>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</si>
  <si>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</si>
  <si>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</si>
  <si>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</si>
  <si>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</si>
  <si>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</si>
  <si>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</si>
  <si>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</si>
  <si>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</si>
  <si>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</si>
  <si>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</si>
  <si>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</si>
  <si>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</si>
  <si>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</si>
  <si>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</si>
  <si>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</si>
  <si>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</si>
  <si>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</si>
  <si>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</si>
  <si>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</si>
  <si>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</si>
  <si>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</si>
  <si>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</si>
  <si>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</si>
  <si>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</si>
  <si>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</si>
  <si>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</si>
  <si>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</si>
  <si>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</si>
  <si>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</si>
  <si>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</si>
  <si>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</si>
  <si>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</si>
  <si>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</si>
  <si>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</si>
  <si>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</si>
  <si>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</si>
  <si>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</si>
  <si>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</si>
  <si>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</si>
  <si>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</si>
  <si>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</si>
  <si>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</si>
  <si>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</si>
  <si>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</si>
  <si>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</si>
  <si>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</si>
  <si>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</si>
  <si>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</si>
  <si>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</si>
  <si>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</si>
  <si>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</si>
  <si>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</si>
  <si>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</si>
  <si>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</si>
  <si>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</si>
  <si>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</si>
  <si>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</si>
  <si>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</si>
  <si>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</si>
  <si>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</si>
  <si>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</si>
  <si>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</si>
  <si>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</si>
  <si>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</si>
  <si>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</si>
  <si>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</si>
  <si>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</si>
  <si>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</si>
  <si>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</si>
  <si>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</si>
  <si>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</si>
  <si>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</si>
  <si>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</si>
  <si>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</si>
  <si>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</si>
  <si>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</si>
  <si>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</si>
  <si>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</si>
  <si>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</si>
  <si>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</si>
  <si>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</si>
  <si>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</si>
  <si>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</si>
  <si>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</si>
  <si>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</si>
  <si>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</si>
  <si>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</si>
  <si>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</si>
  <si>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</si>
  <si>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</si>
  <si>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</si>
  <si>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</si>
  <si>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</si>
  <si>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</si>
  <si>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</si>
  <si>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</si>
  <si>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</si>
  <si>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</si>
  <si>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</si>
  <si>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</si>
  <si>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</si>
  <si>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</si>
  <si>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</si>
  <si>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</si>
  <si>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</si>
  <si>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</si>
  <si>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</si>
  <si>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</si>
  <si>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</si>
  <si>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</si>
  <si>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</si>
  <si>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</si>
  <si>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</si>
  <si>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</si>
  <si>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</si>
  <si>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</si>
  <si>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</si>
  <si>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</si>
  <si>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</si>
  <si>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</si>
  <si>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</si>
  <si>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</si>
  <si>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</si>
  <si>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</si>
  <si>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</si>
  <si>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</si>
  <si>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</si>
  <si>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</si>
  <si>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</si>
  <si>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</si>
  <si>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</si>
  <si>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</si>
  <si>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</si>
  <si>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</si>
  <si>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</si>
  <si>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</si>
  <si>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</si>
  <si>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</si>
  <si>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</si>
  <si>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</si>
  <si>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</si>
  <si>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</si>
  <si>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</si>
  <si>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</si>
  <si>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</si>
  <si>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</si>
  <si>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</si>
  <si>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</si>
  <si>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</si>
  <si>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</si>
  <si>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</si>
  <si>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</si>
  <si>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</si>
  <si>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</si>
  <si>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</si>
  <si>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</si>
  <si>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</si>
  <si>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</si>
  <si>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</si>
  <si>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</si>
  <si>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</si>
  <si>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</si>
  <si>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</si>
  <si>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</si>
  <si>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</si>
  <si>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</si>
  <si>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</si>
  <si>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</si>
  <si>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</si>
  <si>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</si>
  <si>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</si>
  <si>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</si>
  <si>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</si>
  <si>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</si>
  <si>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</si>
  <si>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</si>
  <si>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</si>
  <si>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</si>
  <si>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</si>
  <si>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</si>
  <si>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</si>
  <si>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</si>
  <si>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</si>
  <si>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</si>
  <si>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</si>
  <si>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</si>
  <si>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</si>
  <si>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</si>
  <si>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</si>
  <si>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</si>
  <si>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</si>
  <si>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</si>
  <si>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</si>
  <si>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</si>
  <si>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</si>
  <si>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</si>
  <si>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</si>
  <si>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</si>
  <si>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</si>
  <si>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</si>
  <si>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</si>
  <si>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</si>
  <si>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</si>
  <si>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</si>
  <si>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</si>
  <si>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</si>
  <si>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</si>
  <si>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</si>
  <si>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</si>
  <si>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</si>
  <si>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</si>
  <si>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</si>
  <si>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</si>
  <si>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</si>
  <si>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</si>
  <si>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</si>
  <si>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</si>
  <si>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</si>
  <si>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</si>
  <si>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</si>
  <si>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</si>
  <si>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</si>
  <si>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</si>
  <si>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</si>
  <si>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</si>
  <si>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</si>
  <si>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</si>
  <si>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</si>
  <si>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</si>
  <si>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</si>
  <si>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</si>
  <si>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</si>
  <si>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</si>
  <si>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</si>
  <si>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</si>
  <si>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</si>
  <si>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</si>
  <si>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</si>
  <si>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</si>
  <si>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</si>
  <si>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</si>
  <si>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</si>
  <si>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</si>
  <si>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</si>
  <si>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</si>
  <si>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</si>
  <si>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</si>
  <si>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</si>
  <si>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</si>
  <si>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</si>
  <si>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</si>
  <si>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</si>
  <si>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</si>
  <si>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</si>
  <si>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</si>
  <si>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</si>
  <si>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</si>
  <si>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</si>
  <si>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</si>
  <si>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</si>
  <si>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</si>
  <si>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</si>
  <si>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</si>
  <si>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</si>
  <si>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</si>
  <si>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</si>
  <si>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</si>
  <si>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</si>
  <si>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</si>
  <si>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</si>
  <si>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</si>
  <si>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</si>
  <si>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</si>
  <si>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</si>
  <si>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</si>
  <si>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</si>
  <si>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</si>
  <si>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</si>
  <si>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</si>
  <si>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</si>
  <si>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</si>
  <si>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</si>
  <si>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</si>
  <si>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</si>
  <si>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</si>
  <si>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</si>
  <si>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</si>
  <si>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</si>
  <si>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</si>
  <si>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</si>
  <si>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</si>
  <si>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</si>
  <si>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</si>
  <si>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</si>
  <si>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</si>
  <si>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</si>
  <si>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</si>
  <si>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</si>
  <si>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</si>
  <si>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</si>
  <si>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</si>
  <si>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</si>
  <si>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</si>
  <si>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</si>
  <si>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</si>
  <si>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</si>
  <si>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</si>
  <si>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</si>
  <si>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</si>
  <si>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</si>
  <si>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</si>
  <si>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</si>
  <si>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</si>
  <si>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</si>
  <si>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</si>
  <si>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</si>
  <si>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</si>
  <si>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</si>
  <si>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</si>
  <si>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</si>
  <si>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</si>
  <si>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</si>
  <si>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</si>
  <si>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</si>
  <si>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</si>
  <si>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</si>
  <si>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</si>
  <si>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</si>
  <si>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</si>
  <si>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</si>
  <si>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</si>
  <si>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</si>
  <si>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</si>
  <si>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</si>
  <si>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</si>
  <si>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</si>
  <si>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</si>
  <si>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</si>
  <si>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</si>
  <si>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</si>
  <si>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</si>
  <si>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</si>
  <si>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</si>
  <si>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</si>
  <si>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</si>
  <si>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</si>
  <si>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</si>
  <si>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</si>
  <si>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</si>
  <si>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</si>
  <si>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</si>
  <si>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</si>
  <si>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</si>
  <si>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</si>
  <si>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</si>
  <si>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</si>
  <si>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</si>
  <si>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</si>
  <si>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</si>
  <si>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</si>
  <si>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</si>
  <si>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</si>
  <si>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</si>
  <si>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</si>
  <si>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</si>
  <si>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</si>
  <si>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</si>
  <si>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</si>
  <si>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</si>
  <si>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</si>
  <si>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</si>
  <si>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</si>
  <si>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</si>
  <si>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</si>
  <si>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</si>
  <si>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</si>
  <si>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</si>
  <si>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</si>
  <si>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</si>
  <si>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</si>
  <si>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</si>
  <si>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</si>
  <si>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</si>
  <si>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</si>
  <si>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</si>
  <si>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</si>
  <si>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</si>
  <si>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</si>
  <si>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</si>
  <si>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</si>
  <si>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</si>
  <si>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</si>
  <si>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</si>
  <si>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</si>
  <si>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</si>
  <si>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</si>
  <si>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</si>
  <si>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</si>
  <si>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</si>
  <si>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</si>
  <si>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</si>
  <si>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</si>
  <si>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</si>
  <si>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</si>
  <si>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</si>
  <si>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</si>
  <si>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</si>
  <si>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</si>
  <si>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</si>
  <si>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</si>
  <si>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</si>
  <si>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</si>
  <si>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</si>
  <si>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</si>
  <si>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</si>
  <si>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</si>
  <si>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</si>
  <si>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</si>
  <si>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</si>
  <si>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</si>
  <si>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</si>
  <si>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</si>
  <si>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</si>
  <si>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</si>
  <si>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</si>
  <si>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</si>
  <si>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</si>
  <si>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</si>
  <si>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</si>
  <si>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</si>
  <si>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</si>
  <si>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</si>
  <si>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</si>
  <si>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</si>
  <si>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</si>
  <si>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</si>
  <si>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</si>
  <si>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</si>
  <si>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</si>
  <si>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</si>
  <si>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</si>
  <si>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</si>
  <si>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</si>
  <si>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</si>
  <si>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</si>
  <si>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</si>
  <si>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</si>
  <si>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</si>
  <si>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</si>
  <si>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</si>
  <si>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</si>
  <si>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</si>
  <si>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</si>
  <si>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</si>
  <si>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</si>
  <si>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</si>
  <si>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</si>
  <si>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</si>
  <si>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</si>
  <si>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</si>
  <si>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</si>
  <si>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</si>
  <si>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</si>
  <si>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</si>
  <si>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</si>
  <si>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</si>
  <si>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</si>
  <si>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</si>
  <si>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</si>
  <si>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</si>
  <si>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</si>
  <si>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</si>
  <si>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</si>
  <si>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</si>
  <si>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</si>
  <si>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</si>
  <si>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</si>
  <si>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</si>
  <si>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</si>
  <si>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</si>
  <si>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</si>
  <si>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</si>
  <si>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</si>
  <si>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</si>
  <si>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</si>
  <si>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</si>
  <si>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</si>
  <si>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</si>
  <si>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</si>
  <si>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</si>
  <si>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</si>
  <si>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</si>
  <si>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</si>
  <si>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</si>
  <si>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</si>
  <si>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</si>
  <si>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</si>
  <si>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</si>
  <si>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</si>
  <si>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</si>
  <si>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</si>
  <si>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</si>
  <si>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</si>
  <si>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</si>
  <si>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</si>
  <si>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</si>
  <si>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</si>
  <si>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</si>
  <si>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</si>
  <si>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</si>
  <si>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</si>
  <si>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</si>
  <si>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</si>
  <si>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</si>
  <si>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</si>
  <si>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</si>
  <si>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</si>
  <si>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</si>
  <si>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</si>
  <si>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</si>
  <si>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</si>
  <si>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</si>
  <si>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</si>
  <si>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</si>
  <si>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</si>
  <si>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</si>
  <si>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</si>
  <si>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</si>
  <si>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</si>
  <si>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</si>
  <si>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</si>
  <si>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</si>
  <si>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</si>
  <si>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</si>
  <si>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</si>
  <si>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</si>
  <si>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</si>
  <si>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</si>
  <si>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</si>
  <si>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</si>
  <si>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</si>
  <si>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</si>
  <si>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</si>
  <si>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</si>
  <si>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</si>
  <si>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</si>
  <si>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</si>
  <si>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</si>
  <si>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</si>
  <si>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</si>
  <si>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</si>
  <si>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</si>
  <si>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</si>
  <si>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</si>
  <si>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</si>
  <si>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</si>
  <si>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</si>
  <si>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</si>
  <si>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</si>
  <si>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</si>
  <si>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</si>
  <si>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</si>
  <si>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</si>
  <si>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</si>
  <si>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</si>
  <si>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</si>
  <si>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</si>
  <si>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</si>
  <si>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</si>
  <si>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</si>
  <si>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</si>
  <si>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</si>
  <si>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</si>
  <si>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</si>
  <si>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</si>
  <si>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</si>
  <si>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</si>
  <si>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</si>
  <si>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</si>
  <si>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</si>
  <si>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</si>
  <si>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</si>
  <si>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</si>
  <si>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</si>
  <si>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</si>
  <si>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</si>
  <si>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</si>
  <si>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</si>
  <si>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</si>
  <si>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</si>
  <si>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</si>
  <si>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</si>
  <si>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</si>
  <si>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</si>
  <si>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</si>
  <si>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</si>
  <si>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</si>
  <si>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</si>
  <si>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</si>
  <si>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</si>
  <si>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</si>
  <si>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</si>
  <si>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</si>
  <si>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</si>
  <si>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</si>
  <si>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</si>
  <si>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</si>
  <si>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</si>
  <si>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</si>
  <si>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</si>
  <si>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</si>
  <si>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</si>
  <si>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</si>
  <si>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</si>
  <si>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</si>
  <si>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</si>
  <si>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</si>
  <si>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</si>
  <si>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</si>
  <si>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</si>
  <si>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</si>
  <si>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</si>
  <si>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</si>
  <si>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</si>
  <si>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</si>
  <si>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</si>
  <si>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</si>
  <si>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</si>
  <si>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</si>
  <si>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</si>
  <si>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</si>
  <si>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</si>
  <si>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</si>
  <si>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</si>
  <si>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</si>
  <si>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</si>
  <si>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</si>
  <si>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</si>
  <si>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</si>
  <si>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</si>
  <si>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</si>
  <si>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</si>
  <si>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</si>
  <si>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</si>
  <si>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</si>
  <si>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</si>
  <si>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</si>
  <si>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</si>
  <si>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</si>
  <si>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</si>
  <si>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</si>
  <si>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</si>
  <si>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</si>
  <si>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</si>
  <si>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</si>
  <si>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</si>
  <si>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</si>
  <si>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</si>
  <si>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</si>
  <si>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</si>
  <si>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</si>
  <si>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</si>
  <si>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</si>
  <si>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</si>
  <si>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</si>
  <si>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</si>
  <si>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</si>
  <si>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</si>
  <si>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</si>
  <si>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</si>
  <si>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</si>
  <si>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</si>
  <si>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</si>
  <si>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</si>
  <si>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</si>
  <si>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</si>
  <si>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</si>
  <si>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</si>
  <si>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</si>
  <si>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</si>
  <si>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</si>
  <si>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</si>
  <si>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</si>
  <si>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</si>
  <si>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</si>
  <si>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</si>
  <si>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</si>
  <si>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</si>
  <si>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</si>
  <si>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</si>
  <si>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</si>
  <si>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</si>
  <si>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</si>
  <si>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</si>
  <si>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</si>
  <si>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</si>
  <si>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</si>
  <si>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</si>
  <si>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</si>
  <si>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</si>
  <si>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</si>
  <si>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</si>
  <si>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</si>
  <si>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</si>
  <si>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</si>
  <si>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</si>
  <si>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</si>
  <si>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</si>
  <si>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</si>
  <si>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</si>
  <si>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</si>
  <si>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</si>
  <si>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</si>
  <si>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</si>
  <si>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</si>
  <si>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</si>
  <si>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</si>
  <si>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</si>
  <si>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</si>
  <si>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</si>
  <si>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</si>
  <si>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</si>
  <si>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</si>
  <si>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</si>
  <si>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</si>
  <si>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</si>
  <si>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</si>
  <si>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</si>
  <si>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</si>
  <si>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</si>
  <si>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</si>
  <si>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</si>
  <si>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</si>
  <si>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</si>
  <si>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</si>
  <si>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</si>
  <si>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</si>
  <si>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</si>
  <si>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</si>
  <si>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</si>
  <si>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</si>
  <si>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</si>
  <si>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</si>
  <si>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</si>
  <si>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</si>
  <si>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</si>
  <si>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</si>
  <si>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</si>
  <si>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</si>
  <si>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</si>
  <si>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</si>
  <si>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</si>
  <si>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</si>
  <si>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</si>
  <si>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</si>
  <si>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</si>
  <si>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</si>
  <si>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</si>
  <si>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</si>
  <si>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</si>
  <si>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</si>
  <si>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</si>
  <si>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</si>
  <si>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</si>
  <si>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</si>
  <si>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</si>
  <si>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</si>
  <si>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</si>
  <si>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</si>
  <si>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</si>
  <si>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</si>
  <si>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</si>
  <si>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</si>
  <si>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</si>
  <si>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</si>
  <si>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</si>
  <si>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</si>
  <si>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</si>
  <si>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</si>
  <si>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</si>
  <si>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</si>
  <si>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</si>
  <si>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</si>
  <si>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</si>
  <si>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</si>
  <si>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</si>
  <si>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</si>
  <si>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</si>
  <si>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</si>
  <si>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</si>
  <si>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</si>
  <si>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</si>
  <si>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</si>
  <si>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</si>
  <si>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</si>
  <si>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</si>
  <si>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</si>
  <si>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</si>
  <si>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</si>
  <si>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</si>
  <si>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</si>
  <si>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</si>
  <si>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</si>
  <si>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</si>
  <si>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</si>
  <si>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</si>
  <si>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</si>
  <si>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</si>
  <si>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</si>
  <si>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</si>
  <si>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</si>
  <si>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</si>
  <si>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</si>
  <si>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</si>
  <si>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</si>
  <si>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</si>
  <si>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</si>
  <si>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</si>
  <si>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</si>
  <si>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</si>
  <si>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</si>
  <si>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</si>
  <si>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</si>
  <si>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</si>
  <si>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</si>
  <si>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</si>
  <si>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</si>
  <si>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</si>
  <si>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</si>
  <si>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</si>
  <si>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</si>
  <si>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</si>
  <si>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</si>
  <si>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</si>
  <si>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</si>
  <si>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</si>
  <si>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</si>
  <si>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</si>
  <si>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</si>
  <si>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</si>
  <si>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</si>
  <si>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</si>
  <si>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</si>
  <si>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</si>
  <si>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</si>
  <si>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</si>
  <si>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</si>
  <si>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</si>
  <si>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</si>
  <si>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</si>
  <si>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</si>
  <si>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</si>
  <si>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</si>
  <si>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</si>
  <si>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</si>
  <si>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</si>
  <si>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</si>
  <si>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</si>
  <si>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</si>
  <si>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</si>
  <si>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</si>
  <si>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</si>
  <si>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</si>
  <si>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</si>
  <si>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</si>
  <si>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</si>
  <si>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</si>
  <si>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</si>
  <si>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</si>
  <si>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</si>
  <si>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</si>
  <si>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</si>
  <si>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</si>
  <si>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</si>
  <si>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</si>
  <si>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</si>
  <si>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</si>
  <si>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</si>
  <si>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</si>
  <si>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</si>
  <si>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</si>
  <si>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</si>
  <si>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</si>
  <si>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</si>
  <si>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</si>
  <si>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</si>
  <si>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</si>
  <si>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</si>
  <si>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</si>
  <si>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</si>
  <si>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</si>
  <si>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</si>
  <si>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</si>
  <si>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</si>
  <si>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</si>
  <si>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</si>
  <si>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</si>
  <si>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</si>
  <si>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</si>
  <si>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</si>
  <si>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</si>
  <si>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</si>
  <si>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</si>
  <si>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</si>
  <si>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</si>
  <si>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</si>
  <si>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</si>
  <si>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</si>
  <si>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</si>
  <si>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</si>
  <si>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</si>
  <si>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</si>
  <si>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</si>
  <si>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</si>
  <si>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</si>
  <si>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</si>
  <si>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</si>
  <si>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</si>
  <si>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</si>
  <si>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</si>
  <si>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</si>
  <si>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</si>
  <si>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</si>
  <si>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</si>
  <si>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</si>
  <si>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</si>
  <si>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</si>
  <si>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</si>
  <si>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</si>
  <si>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</si>
  <si>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</si>
  <si>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</si>
  <si>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</si>
  <si>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</si>
  <si>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</si>
  <si>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</si>
  <si>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</si>
  <si>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</si>
  <si>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</si>
  <si>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</si>
  <si>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</si>
  <si>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</si>
  <si>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</si>
  <si>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</si>
  <si>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</si>
  <si>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</si>
  <si>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</si>
  <si>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</si>
  <si>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</si>
  <si>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</si>
  <si>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</si>
  <si>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</si>
  <si>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</si>
  <si>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</si>
  <si>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</si>
  <si>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</si>
  <si>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</si>
  <si>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</si>
  <si>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</si>
  <si>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</si>
  <si>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</si>
  <si>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</si>
  <si>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</si>
  <si>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</si>
  <si>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</si>
  <si>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</si>
  <si>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</si>
  <si>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</si>
  <si>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</si>
  <si>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</si>
  <si>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</si>
  <si>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</si>
  <si>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</si>
  <si>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</si>
  <si>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</si>
  <si>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</si>
  <si>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</si>
  <si>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</si>
  <si>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</si>
  <si>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</si>
  <si>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</si>
  <si>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</si>
  <si>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</si>
  <si>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</si>
  <si>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</si>
  <si>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</si>
  <si>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</si>
  <si>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</si>
  <si>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</si>
  <si>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</si>
  <si>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</si>
  <si>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</si>
  <si>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</si>
  <si>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</si>
  <si>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</si>
  <si>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</si>
  <si>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</si>
  <si>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</si>
  <si>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</si>
  <si>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</si>
  <si>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</si>
  <si>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</si>
  <si>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</si>
  <si>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</si>
  <si>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</si>
  <si>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</si>
  <si>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</si>
  <si>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</si>
  <si>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</si>
  <si>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</si>
  <si>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</si>
  <si>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</si>
  <si>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</si>
  <si>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</si>
  <si>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</si>
  <si>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</si>
  <si>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</si>
  <si>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</si>
  <si>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</si>
  <si>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</si>
  <si>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</si>
  <si>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</si>
  <si>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</si>
  <si>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</si>
  <si>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</si>
  <si>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</si>
  <si>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</si>
  <si>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</si>
  <si>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</si>
  <si>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</si>
  <si>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</si>
  <si>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</si>
  <si>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</si>
  <si>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</si>
  <si>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</si>
  <si>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</si>
  <si>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</si>
  <si>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</si>
  <si>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</si>
  <si>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</si>
  <si>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</si>
  <si>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</si>
  <si>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</si>
  <si>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</si>
  <si>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</si>
  <si>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</si>
  <si>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</si>
  <si>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</si>
  <si>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</si>
  <si>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</si>
  <si>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</si>
  <si>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</si>
  <si>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</si>
  <si>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</si>
  <si>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</si>
  <si>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</si>
  <si>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</si>
  <si>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</si>
  <si>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</si>
  <si>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</si>
  <si>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</si>
  <si>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</si>
  <si>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</si>
  <si>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</si>
  <si>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</si>
  <si>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</si>
  <si>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</si>
  <si>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</si>
  <si>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</si>
  <si>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</si>
  <si>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</si>
  <si>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</si>
  <si>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</si>
  <si>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</si>
  <si>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</si>
  <si>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</si>
  <si>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</si>
  <si>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</si>
  <si>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</si>
  <si>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</si>
  <si>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</si>
  <si>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</si>
  <si>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</si>
  <si>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</si>
  <si>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</si>
  <si>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</si>
  <si>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</si>
  <si>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</si>
  <si>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</si>
  <si>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</si>
  <si>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</si>
  <si>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</si>
  <si>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</si>
  <si>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</si>
  <si>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</si>
  <si>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</si>
  <si>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</si>
  <si>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</si>
  <si>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</si>
  <si>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</si>
  <si>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</si>
  <si>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</si>
  <si>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</si>
  <si>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</si>
  <si>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</si>
  <si>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</si>
  <si>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</si>
  <si>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</si>
  <si>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</si>
  <si>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</si>
  <si>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</si>
  <si>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</si>
  <si>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</si>
  <si>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</si>
  <si>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</si>
  <si>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</si>
  <si>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</si>
  <si>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</si>
  <si>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</si>
  <si>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</si>
  <si>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</si>
  <si>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</si>
  <si>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</si>
  <si>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</si>
  <si>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</si>
  <si>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</si>
  <si>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</si>
  <si>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</si>
  <si>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</si>
  <si>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</si>
  <si>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</si>
  <si>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</si>
  <si>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</si>
  <si>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</si>
  <si>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</si>
  <si>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</si>
  <si>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</si>
  <si>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</si>
  <si>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</si>
  <si>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</si>
  <si>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</si>
  <si>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</si>
  <si>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</si>
  <si>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</si>
  <si>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</si>
  <si>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</si>
  <si>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</si>
  <si>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</si>
  <si>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</si>
  <si>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</si>
  <si>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</si>
  <si>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</si>
  <si>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</si>
  <si>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</si>
  <si>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</si>
  <si>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</si>
  <si>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</si>
  <si>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</si>
  <si>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</si>
  <si>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</si>
  <si>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</si>
  <si>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</si>
  <si>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</si>
  <si>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</si>
  <si>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</si>
  <si>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</si>
  <si>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</si>
  <si>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</si>
  <si>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</si>
  <si>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</si>
  <si>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</si>
  <si>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</si>
  <si>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</si>
  <si>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</si>
  <si>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</si>
  <si>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</si>
  <si>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</si>
  <si>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</si>
  <si>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</si>
  <si>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</si>
  <si>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</si>
  <si>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</si>
  <si>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</si>
  <si>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</si>
  <si>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</si>
  <si>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</si>
  <si>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</si>
  <si>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</si>
  <si>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</si>
  <si>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</si>
  <si>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</si>
  <si>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</si>
  <si>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</si>
  <si>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</si>
  <si>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</si>
  <si>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</si>
  <si>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</si>
  <si>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</si>
  <si>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</si>
  <si>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</si>
  <si>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</si>
  <si>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</si>
  <si>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</si>
  <si>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</si>
  <si>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</si>
  <si>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</si>
  <si>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</si>
  <si>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</si>
  <si>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</si>
  <si>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</si>
  <si>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</si>
  <si>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</si>
  <si>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</si>
  <si>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</si>
  <si>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</si>
  <si>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</si>
  <si>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</si>
  <si>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</si>
  <si>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</si>
  <si>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</si>
  <si>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</si>
  <si>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</si>
  <si>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</si>
  <si>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</si>
  <si>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</si>
  <si>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</si>
  <si>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</si>
  <si>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</si>
  <si>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</si>
  <si>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</si>
  <si>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</si>
  <si>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</si>
  <si>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</si>
  <si>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</si>
  <si>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</si>
  <si>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</si>
  <si>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</si>
  <si>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</si>
  <si>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</si>
  <si>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</si>
  <si>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</si>
  <si>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</si>
  <si>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</si>
  <si>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</si>
  <si>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</si>
  <si>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</si>
  <si>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</si>
  <si>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</si>
  <si>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</si>
  <si>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</si>
  <si>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</si>
  <si>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</si>
  <si>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</si>
  <si>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</si>
  <si>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</si>
  <si>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</si>
  <si>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</si>
  <si>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</si>
  <si>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</si>
  <si>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</si>
  <si>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</si>
  <si>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</si>
  <si>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</si>
  <si>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</si>
  <si>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</si>
  <si>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</si>
  <si>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</si>
  <si>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</si>
  <si>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</si>
  <si>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</si>
  <si>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</si>
  <si>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</si>
  <si>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</si>
  <si>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</si>
  <si>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</si>
  <si>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</si>
  <si>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</si>
  <si>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</si>
  <si>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</si>
  <si>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</si>
  <si>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</si>
  <si>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</si>
  <si>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</si>
  <si>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</si>
  <si>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</si>
  <si>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</si>
  <si>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</si>
  <si>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</si>
  <si>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</si>
  <si>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</si>
  <si>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</si>
  <si>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</si>
  <si>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</si>
  <si>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</si>
  <si>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</si>
  <si>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</si>
  <si>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</si>
  <si>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</si>
  <si>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</si>
  <si>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</si>
  <si>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</si>
  <si>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</si>
  <si>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</si>
  <si>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</si>
  <si>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</si>
  <si>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</si>
  <si>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</si>
  <si>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</si>
  <si>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</si>
  <si>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</si>
  <si>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</si>
  <si>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</si>
  <si>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</si>
  <si>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</si>
  <si>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</si>
  <si>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</si>
  <si>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</si>
  <si>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</si>
  <si>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</si>
  <si>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</si>
  <si>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</si>
  <si>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</si>
  <si>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</si>
  <si>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</si>
  <si>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</si>
  <si>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</si>
  <si>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</si>
  <si>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</si>
  <si>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</si>
  <si>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</si>
  <si>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</si>
  <si>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</si>
  <si>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</si>
  <si>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</si>
  <si>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</si>
  <si>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</si>
  <si>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</si>
  <si>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</si>
  <si>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</si>
  <si>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</si>
  <si>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</si>
  <si>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</si>
  <si>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</si>
  <si>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</si>
  <si>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</si>
  <si>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</si>
  <si>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</si>
  <si>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</si>
  <si>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</si>
  <si>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</si>
  <si>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</si>
  <si>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</si>
  <si>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</si>
  <si>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</si>
  <si>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</si>
  <si>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</si>
  <si>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</si>
  <si>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</si>
  <si>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</si>
  <si>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</si>
  <si>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</si>
  <si>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</si>
  <si>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</si>
  <si>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</si>
  <si>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</si>
  <si>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</si>
  <si>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</si>
  <si>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</si>
  <si>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</si>
  <si>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</si>
  <si>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</si>
  <si>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</si>
  <si>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</si>
  <si>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</si>
  <si>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</si>
  <si>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</si>
  <si>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</si>
  <si>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</si>
  <si>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</si>
  <si>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</si>
  <si>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</si>
  <si>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</si>
  <si>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</si>
  <si>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</si>
  <si>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</si>
  <si>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</si>
  <si>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</si>
  <si>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</si>
  <si>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</si>
  <si>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</si>
  <si>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</si>
  <si>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</si>
  <si>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</si>
  <si>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</si>
  <si>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</si>
  <si>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</si>
  <si>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</si>
  <si>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</si>
  <si>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</si>
  <si>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</si>
  <si>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</si>
  <si>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</si>
  <si>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</si>
  <si>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</si>
  <si>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</si>
  <si>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</si>
  <si>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</si>
  <si>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</si>
  <si>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</si>
  <si>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</si>
  <si>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</si>
  <si>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</si>
  <si>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</si>
  <si>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</si>
  <si>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</si>
  <si>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</si>
  <si>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</si>
  <si>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</si>
  <si>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</si>
  <si>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</si>
  <si>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</si>
  <si>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</si>
  <si>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</si>
  <si>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</si>
  <si>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</si>
  <si>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</si>
  <si>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</si>
  <si>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</si>
  <si>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</si>
  <si>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</si>
  <si>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</si>
  <si>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</si>
  <si>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</si>
  <si>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</si>
  <si>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</si>
  <si>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</si>
  <si>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</si>
  <si>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</si>
  <si>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</si>
  <si>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</si>
  <si>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</si>
  <si>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</si>
  <si>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</si>
  <si>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</si>
  <si>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</si>
  <si>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</si>
  <si>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</si>
  <si>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</si>
  <si>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</si>
  <si>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</si>
  <si>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</si>
  <si>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</si>
  <si>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</si>
  <si>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</si>
  <si>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</si>
  <si>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</si>
  <si>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</si>
  <si>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</si>
  <si>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</si>
  <si>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</si>
  <si>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</si>
  <si>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</si>
  <si>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</si>
  <si>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</si>
  <si>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</si>
  <si>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</si>
  <si>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</si>
  <si>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</si>
  <si>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</si>
  <si>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</si>
  <si>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</si>
  <si>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</si>
  <si>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</si>
  <si>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</si>
  <si>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</si>
  <si>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</si>
  <si>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</si>
  <si>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</si>
  <si>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</si>
  <si>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</si>
  <si>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</si>
  <si>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</si>
  <si>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</si>
  <si>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</si>
  <si>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</si>
  <si>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</si>
  <si>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</si>
  <si>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</si>
  <si>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</si>
  <si>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</si>
  <si>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</si>
  <si>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</si>
  <si>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</si>
  <si>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</si>
  <si>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</si>
  <si>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</si>
  <si>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</si>
  <si>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</si>
  <si>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</si>
  <si>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</si>
  <si>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</si>
  <si>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</si>
  <si>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</si>
  <si>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</si>
  <si>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</si>
  <si>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</si>
  <si>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</si>
  <si>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</si>
  <si>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</si>
  <si>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</si>
  <si>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</si>
  <si>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</si>
  <si>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</si>
  <si>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</si>
  <si>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</si>
  <si>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</si>
  <si>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</si>
  <si>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</si>
  <si>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</si>
  <si>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</si>
  <si>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</si>
  <si>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</si>
  <si>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</si>
  <si>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</si>
  <si>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</si>
  <si>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</si>
  <si>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</si>
  <si>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</si>
  <si>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</si>
  <si>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</si>
  <si>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</si>
  <si>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</si>
  <si>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</si>
  <si>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</si>
  <si>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</si>
  <si>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</si>
  <si>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</si>
  <si>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</si>
  <si>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</si>
  <si>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</si>
  <si>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</si>
  <si>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</si>
  <si>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</si>
  <si>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</si>
  <si>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</si>
  <si>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</si>
  <si>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</si>
  <si>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</si>
  <si>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</si>
  <si>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</si>
  <si>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</si>
  <si>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</si>
  <si>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</si>
  <si>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</si>
  <si>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</si>
  <si>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</si>
  <si>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</si>
  <si>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</si>
  <si>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</si>
  <si>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</si>
  <si>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</si>
  <si>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</si>
  <si>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</si>
  <si>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</si>
  <si>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</si>
  <si>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</si>
  <si>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</si>
  <si>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</si>
  <si>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</si>
  <si>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</si>
  <si>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</si>
  <si>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</si>
  <si>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</si>
  <si>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</si>
  <si>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</si>
  <si>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</si>
  <si>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</si>
  <si>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</si>
  <si>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</si>
  <si>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</si>
  <si>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</si>
  <si>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</si>
  <si>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</si>
  <si>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</si>
  <si>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</si>
  <si>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</si>
  <si>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</si>
  <si>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</si>
  <si>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</si>
  <si>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</si>
  <si>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</si>
  <si>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</si>
  <si>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</si>
  <si>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</si>
  <si>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</si>
  <si>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</si>
  <si>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</si>
  <si>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</si>
  <si>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</si>
  <si>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</si>
  <si>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</si>
  <si>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</si>
  <si>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</si>
  <si>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</si>
  <si>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</si>
  <si>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</si>
  <si>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</si>
  <si>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</si>
  <si>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</si>
  <si>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</si>
  <si>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</si>
  <si>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</si>
  <si>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</si>
  <si>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</si>
  <si>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</si>
  <si>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</si>
  <si>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</si>
  <si>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</si>
  <si>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</si>
  <si>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</si>
  <si>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</si>
  <si>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</si>
  <si>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</si>
  <si>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</si>
  <si>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</si>
  <si>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</si>
  <si>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</si>
  <si>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</si>
  <si>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</si>
  <si>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</si>
  <si>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</si>
  <si>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</si>
  <si>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</si>
  <si>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</si>
  <si>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</si>
  <si>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</si>
  <si>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</si>
  <si>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</si>
  <si>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</si>
  <si>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</si>
  <si>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</si>
  <si>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</si>
  <si>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</si>
  <si>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</si>
  <si>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</si>
  <si>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</si>
  <si>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</si>
  <si>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</si>
  <si>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</si>
  <si>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</si>
  <si>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</si>
  <si>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</si>
  <si>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</si>
  <si>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</si>
  <si>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</si>
  <si>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</si>
  <si>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</si>
  <si>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</si>
  <si>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</si>
  <si>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</si>
  <si>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</si>
  <si>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</si>
  <si>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</si>
  <si>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</si>
  <si>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</si>
  <si>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</si>
  <si>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</si>
  <si>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</si>
  <si>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</si>
  <si>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</si>
  <si>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</si>
  <si>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</si>
  <si>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</si>
  <si>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</si>
  <si>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</si>
  <si>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</si>
  <si>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</si>
  <si>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</si>
  <si>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</si>
  <si>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</si>
  <si>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</si>
  <si>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</si>
  <si>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</si>
  <si>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</si>
  <si>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</si>
  <si>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</si>
  <si>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</si>
  <si>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</si>
  <si>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</si>
  <si>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</si>
  <si>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</si>
  <si>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</si>
  <si>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</si>
  <si>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</si>
  <si>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</si>
  <si>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</si>
  <si>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</si>
  <si>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</si>
  <si>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</si>
  <si>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</si>
  <si>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</si>
  <si>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</si>
  <si>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</si>
  <si>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</si>
  <si>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</si>
  <si>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</si>
  <si>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</si>
  <si>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</si>
  <si>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</si>
  <si>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</si>
  <si>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</si>
  <si>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</si>
  <si>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</si>
  <si>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</si>
  <si>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</si>
  <si>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</si>
  <si>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</si>
  <si>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</si>
  <si>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</si>
  <si>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</si>
  <si>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</si>
  <si>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</si>
  <si>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</si>
  <si>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</si>
  <si>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</si>
  <si>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</si>
  <si>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</si>
  <si>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</si>
  <si>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</si>
  <si>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</si>
  <si>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</si>
  <si>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</si>
  <si>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</si>
  <si>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</si>
  <si>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</si>
  <si>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</si>
  <si>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</si>
  <si>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</si>
  <si>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</si>
  <si>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</si>
  <si>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</si>
  <si>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</si>
  <si>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</si>
  <si>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</si>
  <si>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</si>
  <si>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</si>
  <si>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</si>
  <si>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</si>
  <si>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</si>
  <si>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</si>
  <si>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</si>
  <si>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</si>
  <si>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</si>
  <si>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</si>
  <si>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</si>
  <si>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</si>
  <si>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</si>
  <si>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</si>
  <si>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</si>
  <si>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</si>
  <si>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</si>
  <si>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</si>
  <si>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</si>
  <si>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</si>
  <si>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</si>
  <si>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</si>
  <si>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</si>
  <si>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</si>
  <si>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</si>
  <si>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</si>
  <si>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</si>
  <si>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</si>
  <si>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</si>
  <si>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</si>
  <si>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</si>
  <si>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</si>
  <si>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</si>
  <si>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</si>
  <si>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</si>
  <si>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</si>
  <si>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</si>
  <si>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</si>
  <si>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</si>
  <si>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</si>
  <si>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</si>
  <si>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</si>
  <si>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</si>
  <si>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</si>
  <si>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</si>
  <si>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</si>
  <si>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</si>
  <si>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</si>
  <si>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</si>
  <si>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</si>
  <si>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</si>
  <si>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</si>
  <si>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</si>
  <si>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</si>
  <si>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</si>
  <si>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</si>
  <si>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</si>
  <si>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</si>
  <si>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</si>
  <si>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</si>
  <si>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</si>
  <si>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</si>
  <si>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</si>
  <si>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</si>
  <si>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</si>
  <si>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</si>
  <si>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</si>
  <si>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</si>
  <si>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</si>
  <si>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</si>
  <si>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</si>
  <si>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</si>
  <si>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</si>
  <si>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</si>
  <si>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</si>
  <si>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</si>
  <si>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</si>
  <si>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</si>
  <si>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</si>
  <si>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</si>
  <si>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</si>
  <si>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</si>
  <si>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</si>
  <si>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</si>
  <si>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</si>
  <si>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</si>
  <si>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</si>
  <si>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</si>
  <si>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</si>
  <si>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</si>
  <si>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</si>
  <si>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</si>
  <si>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</si>
  <si>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</si>
  <si>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</si>
  <si>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</si>
  <si>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</si>
  <si>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</si>
  <si>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</si>
  <si>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</si>
  <si>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</si>
  <si>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</si>
  <si>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</si>
  <si>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</si>
  <si>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</si>
  <si>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</si>
  <si>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</si>
  <si>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</si>
  <si>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</si>
  <si>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</si>
  <si>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</si>
  <si>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</si>
  <si>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</si>
  <si>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</si>
  <si>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</si>
  <si>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</si>
  <si>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</si>
  <si>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</si>
  <si>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</si>
  <si>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</si>
  <si>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</si>
  <si>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</si>
  <si>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</si>
  <si>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</si>
  <si>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</si>
  <si>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</si>
  <si>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</si>
  <si>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</si>
  <si>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</si>
  <si>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</si>
  <si>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</si>
  <si>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</si>
  <si>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</si>
  <si>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</si>
  <si>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</si>
  <si>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</si>
  <si>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</si>
  <si>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</si>
  <si>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</si>
  <si>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</si>
  <si>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</si>
  <si>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</si>
  <si>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</si>
  <si>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</si>
  <si>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</si>
  <si>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</si>
  <si>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</si>
  <si>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</si>
  <si>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</si>
  <si>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</si>
  <si>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</si>
  <si>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</si>
  <si>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</si>
  <si>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</si>
  <si>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</si>
  <si>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</si>
  <si>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</si>
  <si>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</si>
  <si>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</si>
  <si>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</si>
  <si>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</si>
  <si>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</si>
  <si>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</si>
  <si>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</si>
  <si>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</si>
  <si>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</si>
  <si>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</si>
  <si>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</si>
  <si>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</si>
  <si>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</si>
  <si>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</si>
  <si>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</si>
  <si>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</si>
  <si>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</si>
  <si>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</si>
  <si>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</si>
  <si>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</si>
  <si>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</si>
  <si>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</si>
  <si>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</si>
  <si>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</si>
  <si>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</si>
  <si>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</si>
  <si>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</si>
  <si>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</si>
  <si>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</si>
  <si>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</si>
  <si>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</si>
  <si>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</si>
  <si>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</si>
  <si>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</si>
  <si>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</si>
  <si>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</si>
  <si>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</si>
  <si>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</si>
  <si>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</si>
  <si>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</si>
  <si>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</si>
  <si>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</si>
  <si>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</si>
  <si>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</si>
  <si>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</si>
  <si>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</si>
  <si>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</si>
  <si>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</si>
  <si>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</si>
  <si>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</si>
  <si>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</si>
  <si>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</si>
  <si>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</si>
  <si>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</si>
  <si>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</si>
  <si>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</si>
  <si>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</si>
  <si>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</si>
  <si>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</si>
  <si>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</si>
  <si>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</si>
  <si>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</si>
  <si>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</si>
  <si>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</si>
  <si>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</si>
  <si>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</si>
  <si>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</si>
  <si>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</si>
  <si>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</si>
  <si>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</si>
  <si>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</si>
  <si>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</si>
  <si>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</si>
  <si>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</si>
  <si>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</si>
  <si>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</si>
  <si>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</si>
  <si>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</si>
  <si>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</si>
  <si>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</si>
  <si>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</si>
  <si>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</si>
  <si>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</si>
  <si>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</si>
  <si>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</si>
  <si>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</si>
  <si>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</si>
  <si>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</si>
  <si>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</si>
  <si>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</si>
  <si>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</si>
  <si>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</si>
  <si>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</si>
  <si>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</si>
  <si>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</si>
  <si>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</si>
  <si>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</si>
  <si>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</si>
  <si>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</si>
  <si>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</si>
  <si>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</si>
  <si>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</si>
  <si>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</si>
  <si>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</si>
  <si>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</si>
  <si>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</si>
  <si>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</si>
  <si>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</si>
  <si>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</si>
  <si>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</si>
  <si>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</si>
  <si>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</si>
  <si>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</si>
  <si>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</si>
  <si>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</si>
  <si>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</si>
  <si>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</si>
  <si>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</si>
  <si>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</si>
  <si>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</si>
  <si>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</si>
  <si>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</si>
  <si>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</si>
  <si>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</si>
  <si>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</si>
  <si>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</si>
  <si>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</si>
  <si>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</si>
  <si>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</si>
  <si>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</si>
  <si>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</si>
  <si>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</si>
  <si>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</si>
  <si>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</si>
  <si>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</si>
  <si>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</si>
  <si>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</si>
  <si>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</si>
  <si>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</si>
  <si>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</si>
  <si>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</si>
  <si>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</si>
  <si>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</si>
  <si>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</si>
  <si>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</si>
  <si>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</si>
  <si>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</si>
  <si>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</si>
  <si>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</si>
  <si>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</si>
  <si>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</si>
  <si>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</si>
  <si>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</si>
  <si>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</si>
  <si>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</si>
  <si>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</si>
  <si>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</si>
  <si>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</si>
  <si>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</si>
  <si>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</si>
  <si>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</si>
  <si>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</si>
  <si>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</si>
  <si>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</si>
  <si>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</si>
  <si>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</si>
  <si>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</si>
  <si>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</si>
  <si>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</si>
  <si>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</si>
  <si>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</si>
  <si>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</si>
  <si>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</si>
  <si>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</si>
  <si>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</si>
  <si>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</si>
  <si>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</si>
  <si>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</si>
  <si>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</si>
  <si>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</si>
  <si>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</si>
  <si>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</si>
  <si>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</si>
  <si>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</si>
  <si>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</si>
  <si>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</si>
  <si>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</si>
  <si>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</si>
  <si>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</si>
  <si>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</si>
  <si>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</si>
  <si>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</si>
  <si>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</si>
  <si>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</si>
  <si>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</si>
  <si>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</si>
  <si>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</si>
  <si>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</si>
  <si>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</si>
  <si>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</si>
  <si>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</si>
  <si>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</si>
  <si>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</si>
  <si>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</si>
  <si>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</si>
  <si>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</si>
  <si>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</si>
  <si>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</si>
  <si>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</si>
  <si>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</si>
  <si>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</si>
  <si>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</si>
  <si>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</si>
  <si>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</si>
  <si>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</si>
  <si>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</si>
  <si>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</si>
  <si>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</si>
  <si>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</si>
  <si>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</si>
  <si>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</si>
  <si>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</si>
  <si>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</si>
  <si>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</si>
  <si>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</si>
  <si>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</si>
  <si>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</si>
  <si>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</si>
  <si>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</si>
  <si>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</si>
  <si>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</si>
  <si>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</si>
  <si>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</si>
  <si>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</si>
  <si>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</si>
  <si>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</si>
  <si>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</si>
  <si>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</si>
  <si>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</si>
  <si>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</si>
  <si>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</si>
  <si>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</si>
  <si>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</si>
  <si>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</si>
  <si>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</si>
  <si>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</si>
  <si>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</si>
  <si>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</si>
  <si>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</si>
  <si>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</si>
  <si>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</si>
  <si>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</si>
  <si>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</si>
  <si>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</si>
  <si>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</si>
  <si>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</si>
  <si>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</si>
  <si>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</si>
  <si>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</si>
  <si>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</si>
  <si>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</si>
  <si>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</si>
  <si>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</si>
  <si>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</si>
  <si>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</si>
  <si>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</si>
  <si>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</si>
  <si>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</si>
  <si>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</si>
  <si>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</si>
  <si>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</si>
  <si>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</si>
  <si>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</si>
  <si>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</si>
  <si>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</si>
  <si>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</si>
  <si>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</si>
  <si>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</si>
  <si>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</si>
  <si>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</si>
  <si>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</si>
  <si>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</si>
  <si>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</si>
  <si>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</si>
  <si>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</si>
  <si>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</si>
  <si>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</si>
  <si>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</si>
  <si>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</si>
  <si>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</si>
  <si>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</si>
  <si>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</si>
  <si>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</si>
  <si>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</si>
  <si>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</si>
  <si>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</si>
  <si>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</si>
  <si>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</si>
  <si>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</si>
  <si>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</si>
  <si>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</si>
  <si>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</si>
  <si>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</si>
  <si>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</si>
  <si>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</si>
  <si>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</si>
  <si>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</si>
  <si>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</si>
  <si>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</si>
  <si>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</si>
  <si>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</si>
  <si>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</si>
  <si>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</si>
  <si>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</si>
  <si>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</si>
  <si>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</si>
  <si>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</si>
  <si>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</si>
  <si>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</si>
  <si>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</si>
  <si>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</si>
  <si>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</si>
  <si>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</si>
  <si>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</si>
  <si>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</si>
  <si>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</si>
  <si>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</si>
  <si>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</si>
  <si>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</si>
  <si>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</si>
  <si>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</si>
  <si>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</si>
  <si>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</si>
  <si>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</si>
  <si>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</si>
  <si>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</si>
  <si>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</si>
  <si>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</si>
  <si>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</si>
  <si>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</si>
  <si>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</si>
  <si>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</si>
  <si>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</si>
  <si>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</si>
  <si>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</si>
  <si>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</si>
  <si>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</si>
  <si>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</si>
  <si>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</si>
  <si>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</si>
  <si>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</si>
  <si>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</si>
  <si>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</si>
  <si>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</si>
  <si>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</si>
  <si>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</si>
  <si>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</si>
  <si>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</si>
  <si>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</si>
  <si>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</si>
  <si>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</si>
  <si>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</si>
  <si>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</si>
  <si>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</si>
  <si>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</si>
  <si>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</si>
  <si>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</si>
  <si>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</si>
  <si>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</si>
  <si>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</si>
  <si>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</si>
  <si>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</si>
  <si>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</si>
  <si>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</si>
  <si>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</si>
  <si>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</si>
  <si>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</si>
  <si>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</si>
  <si>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</si>
  <si>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</si>
  <si>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</si>
  <si>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</si>
  <si>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</si>
  <si>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</si>
  <si>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</si>
  <si>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</si>
  <si>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</si>
  <si>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</si>
  <si>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</si>
  <si>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</si>
  <si>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</si>
  <si>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</si>
  <si>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</si>
  <si>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</si>
  <si>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</si>
  <si>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</si>
  <si>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</si>
  <si>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</si>
  <si>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</si>
  <si>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</si>
  <si>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</si>
  <si>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</si>
  <si>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</si>
  <si>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</si>
  <si>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</si>
  <si>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</si>
  <si>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</si>
  <si>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</si>
  <si>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</si>
  <si>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</si>
  <si>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</si>
  <si>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</si>
  <si>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</si>
  <si>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</si>
  <si>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</si>
  <si>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</si>
  <si>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</si>
  <si>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</si>
  <si>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</si>
  <si>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</si>
  <si>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</si>
  <si>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</si>
  <si>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</si>
  <si>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</si>
  <si>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</si>
  <si>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</si>
  <si>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</si>
  <si>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</si>
  <si>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</si>
  <si>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</si>
  <si>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</si>
  <si>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</si>
  <si>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</si>
  <si>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</si>
  <si>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</si>
  <si>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</si>
  <si>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</si>
  <si>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</si>
  <si>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</si>
  <si>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</si>
  <si>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</si>
  <si>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</si>
  <si>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</si>
  <si>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</si>
  <si>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</si>
  <si>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</si>
  <si>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</si>
  <si>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</si>
  <si>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</si>
  <si>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</si>
  <si>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</si>
  <si>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</si>
  <si>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</si>
  <si>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</si>
  <si>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</si>
  <si>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</si>
  <si>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</si>
  <si>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</si>
  <si>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</si>
  <si>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</si>
  <si>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</si>
  <si>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</si>
  <si>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</si>
  <si>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</si>
  <si>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</si>
  <si>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</si>
  <si>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</si>
  <si>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</si>
  <si>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</si>
  <si>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</si>
  <si>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</si>
  <si>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</si>
  <si>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</si>
  <si>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</si>
  <si>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</si>
  <si>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</si>
  <si>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</si>
  <si>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</si>
  <si>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</si>
  <si>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</si>
  <si>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</si>
  <si>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</si>
  <si>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</si>
  <si>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</si>
  <si>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</si>
  <si>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</si>
  <si>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</si>
  <si>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</si>
  <si>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</si>
  <si>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</si>
  <si>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</si>
  <si>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</si>
  <si>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</si>
  <si>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</si>
  <si>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</si>
  <si>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</si>
  <si>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</si>
  <si>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</si>
  <si>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</si>
  <si>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</si>
  <si>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</si>
  <si>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</si>
  <si>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</si>
  <si>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</si>
  <si>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</si>
  <si>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</si>
  <si>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</si>
  <si>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</si>
  <si>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</si>
  <si>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</si>
  <si>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</si>
  <si>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</si>
  <si>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</si>
  <si>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</si>
  <si>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</si>
  <si>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</si>
  <si>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</si>
  <si>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</si>
  <si>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</si>
  <si>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</si>
  <si>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</si>
  <si>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</si>
  <si>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</si>
  <si>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</si>
  <si>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</si>
  <si>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</si>
  <si>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</si>
  <si>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</si>
  <si>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</si>
  <si>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</si>
  <si>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</si>
  <si>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</si>
  <si>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</si>
  <si>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</si>
  <si>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</si>
  <si>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</si>
  <si>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</si>
  <si>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</si>
  <si>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</si>
  <si>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</si>
  <si>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</si>
  <si>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</si>
  <si>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</si>
  <si>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</si>
  <si>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</si>
  <si>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</si>
  <si>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</si>
  <si>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</si>
  <si>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</si>
  <si>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</si>
  <si>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</si>
  <si>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</si>
  <si>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Ephesian Legacy Court LP</t>
  </si>
  <si>
    <t xml:space="preserve">Ephesian Legacy Court </t>
  </si>
  <si>
    <t xml:space="preserve">City of Berkeley </t>
  </si>
  <si>
    <t xml:space="preserve">Dee Williams-Ridley </t>
  </si>
  <si>
    <t>2180 Milvia Street</t>
  </si>
  <si>
    <t>Berkeley</t>
  </si>
  <si>
    <t>510-981-7099</t>
  </si>
  <si>
    <t>Cmanager@berkeley.ca.gov</t>
  </si>
  <si>
    <t xml:space="preserve">1709 Alcatraz Avenue </t>
  </si>
  <si>
    <t xml:space="preserve">Berkeley </t>
  </si>
  <si>
    <t xml:space="preserve">052-1533-001-03 </t>
  </si>
  <si>
    <t>40%/60%</t>
  </si>
  <si>
    <t>1535 Fred Jackson Way</t>
  </si>
  <si>
    <t xml:space="preserve">Richmond </t>
  </si>
  <si>
    <t>Ca</t>
  </si>
  <si>
    <t xml:space="preserve">Donald Gilmore </t>
  </si>
  <si>
    <t>510-221-2515</t>
  </si>
  <si>
    <t xml:space="preserve">510-215-9276 </t>
  </si>
  <si>
    <t>dgilmore@communityhdc.org</t>
  </si>
  <si>
    <t>Community Housing Development Corporation</t>
  </si>
  <si>
    <t xml:space="preserve">CHDC Ephesian Legacy Court, LLC </t>
  </si>
  <si>
    <t>Managing GP</t>
  </si>
  <si>
    <t>Donald Gilmore</t>
  </si>
  <si>
    <t xml:space="preserve">dgilmore@communityhdc.org </t>
  </si>
  <si>
    <t>Ephesian Neighborhood Development Corporation</t>
  </si>
  <si>
    <t xml:space="preserve">Ephesian Legacy Court Berkeley LLC </t>
  </si>
  <si>
    <t xml:space="preserve">Johnathon Logan </t>
  </si>
  <si>
    <t>707-208-4850</t>
  </si>
  <si>
    <t>pastorjlogan@gmail.com</t>
  </si>
  <si>
    <t xml:space="preserve">Community Housing Development Corporation of North Richmond </t>
  </si>
  <si>
    <t>CA</t>
  </si>
  <si>
    <t>General Partner</t>
  </si>
  <si>
    <t>Richmond, Ca, 94801</t>
  </si>
  <si>
    <t>Kodama Diseno Architects</t>
  </si>
  <si>
    <t>3160 College Ave Suite 201</t>
  </si>
  <si>
    <t xml:space="preserve">Berkeley, Ca 94705 </t>
  </si>
  <si>
    <t xml:space="preserve">Steven Kodama </t>
  </si>
  <si>
    <t xml:space="preserve">510-986-0696 </t>
  </si>
  <si>
    <t>skodama@kodamadiseno.com</t>
  </si>
  <si>
    <t xml:space="preserve">Goldfarb &amp; Lipman Attorneys </t>
  </si>
  <si>
    <t xml:space="preserve">1300 Clay Street </t>
  </si>
  <si>
    <t xml:space="preserve">Oakland, Ca 94612 </t>
  </si>
  <si>
    <t xml:space="preserve">Dianne Jackson McLean </t>
  </si>
  <si>
    <t>dmclean@goldfrablipman.com</t>
  </si>
  <si>
    <t>James E. Roberts Obayashi Corporation</t>
  </si>
  <si>
    <t>20 Oak Ct.</t>
  </si>
  <si>
    <t xml:space="preserve">Danville, Ca, 94526 </t>
  </si>
  <si>
    <t xml:space="preserve">Scott Smith </t>
  </si>
  <si>
    <t>925-820-0800</t>
  </si>
  <si>
    <t xml:space="preserve">scott@jerocorp.com </t>
  </si>
  <si>
    <t xml:space="preserve">Sun, Light and Power Company </t>
  </si>
  <si>
    <t xml:space="preserve">1035 Folger Avenue </t>
  </si>
  <si>
    <t>Berkeley, Ca, 94710</t>
  </si>
  <si>
    <t>510-845-2997</t>
  </si>
  <si>
    <t xml:space="preserve">Community Economics, Inc. </t>
  </si>
  <si>
    <t>538 9th Street, Suite 200</t>
  </si>
  <si>
    <t>Oakland, Ca, 94607</t>
  </si>
  <si>
    <t>Diana Downton</t>
  </si>
  <si>
    <t>510-832-8300</t>
  </si>
  <si>
    <t xml:space="preserve">diana@communityeconomics.org </t>
  </si>
  <si>
    <t>Citi Bank</t>
  </si>
  <si>
    <t xml:space="preserve">300 South Gran Avenue, Suite 3110 </t>
  </si>
  <si>
    <t xml:space="preserve">Los Angeles, Ca 90071 </t>
  </si>
  <si>
    <t>Hao Li</t>
  </si>
  <si>
    <t>213-239-1924</t>
  </si>
  <si>
    <t>hao.li@citi.com</t>
  </si>
  <si>
    <t xml:space="preserve">Urban Core </t>
  </si>
  <si>
    <t xml:space="preserve">4096 Piedmont Avenue, Suite 345 </t>
  </si>
  <si>
    <t xml:space="preserve">Oakland, Ca, 94611 </t>
  </si>
  <si>
    <t xml:space="preserve">Kenneth Jones </t>
  </si>
  <si>
    <t xml:space="preserve">kjones@urbancorellc.com </t>
  </si>
  <si>
    <t>The Concord Group</t>
  </si>
  <si>
    <t>180 Montgomery St. 23rd Floor</t>
  </si>
  <si>
    <t>San Francisco, Ca, 94108</t>
  </si>
  <si>
    <t>Tim Cornwell</t>
  </si>
  <si>
    <t>415-397-5490</t>
  </si>
  <si>
    <t>tmc@theconcordgroup.com</t>
  </si>
  <si>
    <t xml:space="preserve">Valbridge Property Advisors </t>
  </si>
  <si>
    <t xml:space="preserve">3160 Crow Canyon, Pl., Ste. 245 </t>
  </si>
  <si>
    <t>San Ramon, Ca</t>
  </si>
  <si>
    <t>James Murrren</t>
  </si>
  <si>
    <t>925-327-1660</t>
  </si>
  <si>
    <t>408-279-3428</t>
  </si>
  <si>
    <t>jmurren@valbridge.com</t>
  </si>
  <si>
    <t xml:space="preserve">California Municipal Finance Authority </t>
  </si>
  <si>
    <t>2111 Palomar Airport Road, Suite 320</t>
  </si>
  <si>
    <t>Carlsbad, Ca, 92011</t>
  </si>
  <si>
    <t xml:space="preserve">John Stoecher </t>
  </si>
  <si>
    <t>760-930-1221</t>
  </si>
  <si>
    <t>760-683-3390</t>
  </si>
  <si>
    <t>jstoecher@cmfa-ca.com</t>
  </si>
  <si>
    <t xml:space="preserve">John Stewart Company </t>
  </si>
  <si>
    <t>1388 Sutter Street, 11th Floor</t>
  </si>
  <si>
    <t>San Francisco, CA 94109</t>
  </si>
  <si>
    <t xml:space="preserve">Diana Porter </t>
  </si>
  <si>
    <t xml:space="preserve">415-345-4497 </t>
  </si>
  <si>
    <t xml:space="preserve">dporter@jsco.net </t>
  </si>
  <si>
    <t>Inner City Infill Site</t>
  </si>
  <si>
    <t xml:space="preserve">Seniors </t>
  </si>
  <si>
    <t>CAC Adeline Corridor Specific Plan</t>
  </si>
  <si>
    <t xml:space="preserve">Adeline Corridor Specific Plan/127 dua </t>
  </si>
  <si>
    <t xml:space="preserve">Adeline Corridor Specific Plan/ 60 dua </t>
  </si>
  <si>
    <t>5 Stories/48 ft</t>
  </si>
  <si>
    <t xml:space="preserve">Berkeley Housing Authority </t>
  </si>
  <si>
    <t>Telephone, Fax, Computer Lines, Answ.</t>
  </si>
  <si>
    <t xml:space="preserve">Misc. </t>
  </si>
  <si>
    <t>Fire Protection</t>
  </si>
  <si>
    <t xml:space="preserve">Community Housing Development Corporation of North Richmnond </t>
  </si>
  <si>
    <t xml:space="preserve">City of Berkeley HTF </t>
  </si>
  <si>
    <t>City of Berkeley Measure O</t>
  </si>
  <si>
    <t>Phone, Internet, Cable</t>
  </si>
  <si>
    <t>Janitorial Contract</t>
  </si>
  <si>
    <t>Taxes, Property Insurance</t>
  </si>
  <si>
    <t>Payroll Taxes, Benefits</t>
  </si>
  <si>
    <t>Citi Bank - Tax Exempt Construction Loan</t>
  </si>
  <si>
    <t>Variable</t>
  </si>
  <si>
    <t>Citi Bank - Taxable Construction Loan</t>
  </si>
  <si>
    <t>Fixed</t>
  </si>
  <si>
    <t>City of Berkeley HTF</t>
  </si>
  <si>
    <t xml:space="preserve">GP Equity </t>
  </si>
  <si>
    <t>Investor Capital Contribution</t>
  </si>
  <si>
    <t>Costs Deferred to Perm Conversion</t>
  </si>
  <si>
    <t>Citi Bank - Perm Mortgage</t>
  </si>
  <si>
    <t>CA HCD MHP</t>
  </si>
  <si>
    <t>City of Berkeley</t>
  </si>
  <si>
    <t>Berkeley Housing Authority</t>
  </si>
  <si>
    <t>Project-based vouchers (PBVs)</t>
  </si>
  <si>
    <t>Other: (Sponsor Legal)</t>
  </si>
  <si>
    <t>Other: (Transition Reserve Fee)</t>
  </si>
  <si>
    <t>1 bedroom</t>
  </si>
  <si>
    <t>City of Berkeley, HCD</t>
  </si>
  <si>
    <t>Provided</t>
  </si>
  <si>
    <t>Not Applicable</t>
  </si>
  <si>
    <t>MHP</t>
  </si>
  <si>
    <t xml:space="preserve">1535 Fred Jackson Way </t>
  </si>
  <si>
    <t xml:space="preserve">300 South Grand Avenue </t>
  </si>
  <si>
    <t xml:space="preserve">Los Angeles </t>
  </si>
  <si>
    <t xml:space="preserve">213-239-1914 </t>
  </si>
  <si>
    <t xml:space="preserve">2180 Milvia Street </t>
  </si>
  <si>
    <t xml:space="preserve">Asavari Devadiga </t>
  </si>
  <si>
    <t>2020 W. El Camino Avenue, Suit 650</t>
  </si>
  <si>
    <t xml:space="preserve">Ashlet Foster </t>
  </si>
  <si>
    <t>(510) 981-5400</t>
  </si>
  <si>
    <t>(510) 412-9290</t>
  </si>
  <si>
    <t xml:space="preserve">Permanent  </t>
  </si>
  <si>
    <t>Richmond</t>
  </si>
  <si>
    <t>510-412-9290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</si>
</sst>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66" fontId="13" fillId="57" borderId="4" xfId="0" applyNumberFormat="1" applyFont="1" applyFill="1" applyBorder="1" applyAlignment="1" applyProtection="1">
      <alignment horizontal="left"/>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57" borderId="6" xfId="0" applyFill="1" applyBorder="1" applyAlignment="1" applyProtection="1">
      <alignment horizontal="lef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7"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2" fillId="0" borderId="6" xfId="0" applyFont="1" applyBorder="1" applyAlignment="1">
      <alignment horizontal="left"/>
    </xf>
    <xf numFmtId="0" fontId="13" fillId="57" borderId="4" xfId="0"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Ephesian%20Snr\Ephesians%204-17-24%20BOND%20APP.xlsx" TargetMode="External"/><Relationship Id="rId1" Type="http://schemas.openxmlformats.org/officeDocument/2006/relationships/externalLinkPath" Target="file:///C:\Users\Diana%20Downton\Box\Diana%20Downton\Diana%20Downton\CHDC%20-%20Ephesian%20Snr\Ephesians%204-17-24%20BOND%20AP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Ephesian%20Snr\Ephesians%208-13-24.xlsx" TargetMode="External"/><Relationship Id="rId1" Type="http://schemas.openxmlformats.org/officeDocument/2006/relationships/externalLinkPath" Target="file:///C:\Users\Diana%20Downton\Box\Diana%20Downton\Diana%20Downton\CHDC%20-%20Ephesian%20Snr\Ephesians%208-13-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CHDC%20-%20Ephesian%20Snr\TCAC-CDLAC\Att%2040%202024_application_4_percent_4.14.24TM%20CEI.xlsx" TargetMode="External"/><Relationship Id="rId1" Type="http://schemas.openxmlformats.org/officeDocument/2006/relationships/externalLinkPath" Target="file:///C:\Users\Diana%20Downton\Box\Diana%20Downton\Diana%20Downton\CHDC%20-%20Ephesian%20Snr\TCAC-CDLAC\Att%2040%202024_application_4_percent_4.14.24TM%20C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uperNOFA"/>
      <sheetName val="Sheet1"/>
    </sheetNames>
    <sheetDataSet>
      <sheetData sheetId="0">
        <row r="5">
          <cell r="H5">
            <v>5380000</v>
          </cell>
          <cell r="I5">
            <v>7.0000000000000007E-2</v>
          </cell>
        </row>
        <row r="23">
          <cell r="I23">
            <v>7.7499999999999999E-2</v>
          </cell>
        </row>
        <row r="38">
          <cell r="K38">
            <v>486400</v>
          </cell>
        </row>
        <row r="81">
          <cell r="K81">
            <v>16768.809450277637</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uperNOFA"/>
      <sheetName val="Sheet1"/>
    </sheetNames>
    <sheetDataSet>
      <sheetData sheetId="0">
        <row r="5">
          <cell r="H5">
            <v>5380000</v>
          </cell>
        </row>
        <row r="8">
          <cell r="H8">
            <v>3556400</v>
          </cell>
        </row>
        <row r="9">
          <cell r="H9">
            <v>14531301</v>
          </cell>
        </row>
        <row r="11">
          <cell r="H11">
            <v>18718944.416281417</v>
          </cell>
        </row>
        <row r="15">
          <cell r="H15">
            <v>1724654.6746198384</v>
          </cell>
        </row>
        <row r="16">
          <cell r="H16">
            <v>700000</v>
          </cell>
        </row>
        <row r="17">
          <cell r="H17">
            <v>1000000</v>
          </cell>
          <cell r="K17">
            <v>100</v>
          </cell>
        </row>
        <row r="18">
          <cell r="H18">
            <v>29760282</v>
          </cell>
          <cell r="K18">
            <v>2976028</v>
          </cell>
        </row>
        <row r="31">
          <cell r="I31">
            <v>5715000</v>
          </cell>
          <cell r="J31">
            <v>0</v>
          </cell>
        </row>
        <row r="32">
          <cell r="I32">
            <v>82628.916131802849</v>
          </cell>
          <cell r="J32">
            <v>2371.0838681971468</v>
          </cell>
        </row>
        <row r="34">
          <cell r="I34">
            <v>157480.99309825955</v>
          </cell>
          <cell r="J34">
            <v>4519.0069017404448</v>
          </cell>
        </row>
        <row r="37">
          <cell r="I37">
            <v>121795.02237827741</v>
          </cell>
          <cell r="J37">
            <v>3494.9776217225944</v>
          </cell>
        </row>
        <row r="38">
          <cell r="I38">
            <v>486400</v>
          </cell>
          <cell r="J38">
            <v>0</v>
          </cell>
        </row>
        <row r="41">
          <cell r="I41">
            <v>880827.85740740737</v>
          </cell>
          <cell r="J41">
            <v>0</v>
          </cell>
        </row>
        <row r="42">
          <cell r="I42">
            <v>35274732.004271612</v>
          </cell>
          <cell r="J42">
            <v>1195517.3576685437</v>
          </cell>
        </row>
        <row r="43">
          <cell r="I43">
            <v>360000</v>
          </cell>
        </row>
        <row r="44">
          <cell r="I44">
            <v>2060047.1961158051</v>
          </cell>
          <cell r="J44">
            <v>62857.462814307961</v>
          </cell>
        </row>
        <row r="45">
          <cell r="I45">
            <v>2024290.7400000002</v>
          </cell>
          <cell r="J45">
            <v>58088</v>
          </cell>
        </row>
        <row r="46">
          <cell r="I46">
            <v>726025.46765347419</v>
          </cell>
          <cell r="J46">
            <v>1183.1372390553599</v>
          </cell>
        </row>
        <row r="47">
          <cell r="I47">
            <v>1448667.8529836102</v>
          </cell>
          <cell r="J47">
            <v>2360.7613785600001</v>
          </cell>
        </row>
        <row r="50">
          <cell r="I50">
            <v>1766212.181297167</v>
          </cell>
          <cell r="J50">
            <v>50682.465738833038</v>
          </cell>
        </row>
        <row r="53">
          <cell r="I53">
            <v>509862.62054306082</v>
          </cell>
          <cell r="J53">
            <v>2387.3794569391475</v>
          </cell>
        </row>
        <row r="55">
          <cell r="I55">
            <v>5564674.6321155317</v>
          </cell>
          <cell r="K55">
            <v>2991817.3062311322</v>
          </cell>
        </row>
        <row r="56">
          <cell r="AC56">
            <v>429519.29088768072</v>
          </cell>
        </row>
        <row r="57">
          <cell r="I57">
            <v>399016.91612211056</v>
          </cell>
          <cell r="J57">
            <v>0</v>
          </cell>
          <cell r="K57">
            <v>276242.48039223038</v>
          </cell>
        </row>
        <row r="59">
          <cell r="I59">
            <v>7776.8391653461513</v>
          </cell>
          <cell r="J59">
            <v>223.16083465384912</v>
          </cell>
          <cell r="AC59">
            <v>78619.566548381947</v>
          </cell>
        </row>
        <row r="60">
          <cell r="I60">
            <v>1458157.3435024032</v>
          </cell>
          <cell r="J60">
            <v>41842.656497596712</v>
          </cell>
        </row>
        <row r="61">
          <cell r="I61">
            <v>77768.391653461513</v>
          </cell>
          <cell r="J61">
            <v>2231.6083465384913</v>
          </cell>
        </row>
        <row r="64">
          <cell r="I64">
            <v>63800</v>
          </cell>
        </row>
        <row r="65">
          <cell r="I65">
            <v>232457.61225494975</v>
          </cell>
          <cell r="K65">
            <v>160932.19309958059</v>
          </cell>
        </row>
        <row r="66">
          <cell r="I66">
            <v>25000</v>
          </cell>
          <cell r="M66">
            <v>25000</v>
          </cell>
        </row>
        <row r="71">
          <cell r="I71">
            <v>75000</v>
          </cell>
          <cell r="J71">
            <v>0</v>
          </cell>
          <cell r="K71">
            <v>51923.076923076922</v>
          </cell>
        </row>
        <row r="73">
          <cell r="I73">
            <v>131234.16091521629</v>
          </cell>
          <cell r="J73">
            <v>3765.839084783704</v>
          </cell>
        </row>
        <row r="76">
          <cell r="I76">
            <v>451156</v>
          </cell>
        </row>
        <row r="78">
          <cell r="I78">
            <v>144000</v>
          </cell>
        </row>
        <row r="79">
          <cell r="I79">
            <v>127353.59999999999</v>
          </cell>
        </row>
        <row r="80">
          <cell r="H80">
            <v>722509.6</v>
          </cell>
        </row>
        <row r="81">
          <cell r="I81">
            <v>33537.618900555273</v>
          </cell>
          <cell r="J81">
            <v>962.38109944472433</v>
          </cell>
        </row>
        <row r="82">
          <cell r="I82">
            <v>4333740.6251641735</v>
          </cell>
          <cell r="J82">
            <v>124359.15858906459</v>
          </cell>
        </row>
        <row r="85">
          <cell r="I85">
            <v>90366.98000000001</v>
          </cell>
        </row>
        <row r="86">
          <cell r="I86">
            <v>194420.97913365377</v>
          </cell>
          <cell r="J86">
            <v>5579.0208663462281</v>
          </cell>
        </row>
        <row r="87">
          <cell r="I87">
            <v>1091517</v>
          </cell>
        </row>
        <row r="88">
          <cell r="I88">
            <v>1474052.3760783677</v>
          </cell>
          <cell r="J88">
            <v>42298.773521632458</v>
          </cell>
        </row>
        <row r="89">
          <cell r="I89">
            <v>15000</v>
          </cell>
          <cell r="J89">
            <v>0</v>
          </cell>
        </row>
        <row r="90">
          <cell r="I90">
            <v>59000</v>
          </cell>
          <cell r="J90">
            <v>0</v>
          </cell>
        </row>
        <row r="91">
          <cell r="I91">
            <v>52007.611918252383</v>
          </cell>
          <cell r="J91">
            <v>1492.3880817476161</v>
          </cell>
        </row>
        <row r="92">
          <cell r="I92">
            <v>60000</v>
          </cell>
          <cell r="J92">
            <v>0</v>
          </cell>
        </row>
        <row r="94">
          <cell r="I94">
            <v>1277887.0048388552</v>
          </cell>
          <cell r="J94">
            <v>15468.92764818547</v>
          </cell>
        </row>
        <row r="98">
          <cell r="H98">
            <v>4500000</v>
          </cell>
          <cell r="I98">
            <v>4397030.8726380551</v>
          </cell>
          <cell r="J98">
            <v>102969.12736194459</v>
          </cell>
          <cell r="L98">
            <v>800000</v>
          </cell>
        </row>
        <row r="112">
          <cell r="H112">
            <v>197000</v>
          </cell>
        </row>
        <row r="122">
          <cell r="L122">
            <v>0.54899999999999993</v>
          </cell>
        </row>
        <row r="124">
          <cell r="L124">
            <v>39194154.526084818</v>
          </cell>
        </row>
        <row r="125">
          <cell r="L125">
            <v>8941434.2901965901</v>
          </cell>
        </row>
        <row r="153">
          <cell r="H153">
            <v>3306698</v>
          </cell>
        </row>
        <row r="156">
          <cell r="H156">
            <v>29760282</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sheetData sheetId="1"/>
      <sheetData sheetId="2"/>
      <sheetData sheetId="3"/>
      <sheetData sheetId="4">
        <row r="627">
          <cell r="AO627">
            <v>5380000</v>
          </cell>
        </row>
        <row r="628">
          <cell r="AO628">
            <v>14531301</v>
          </cell>
        </row>
        <row r="629">
          <cell r="AO629">
            <v>18718944.416281417</v>
          </cell>
        </row>
        <row r="630">
          <cell r="AO630">
            <v>3556400</v>
          </cell>
        </row>
        <row r="631">
          <cell r="AO631">
            <v>700000</v>
          </cell>
        </row>
        <row r="632">
          <cell r="AO632">
            <v>1000000</v>
          </cell>
        </row>
      </sheetData>
      <sheetData sheetId="5">
        <row r="85">
          <cell r="C85">
            <v>1091517</v>
          </cell>
        </row>
      </sheetData>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8"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 customHeight="1">
      <c r="A42" s="4"/>
      <c r="B42"/>
      <c r="C42" s="2"/>
      <c r="D42" s="4"/>
      <c r="E42" s="4" t="s">
        <v>662</v>
      </c>
      <c r="F42" s="1266" t="s">
        <v>1271</v>
      </c>
    </row>
    <row r="43" spans="1:38" s="1266"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74" zoomScaleNormal="100" workbookViewId="0">
      <selection activeCell="N183" sqref="N183:T183"/>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229" t="s">
        <v>2412</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2459</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5" t="str">
        <f>IF(Application!H18="","",Application!H18)</f>
        <v xml:space="preserve">Ephesian Legacy Court </v>
      </c>
      <c r="M4" s="2236"/>
      <c r="N4" s="2236"/>
      <c r="O4" s="2236"/>
      <c r="P4" s="2236"/>
      <c r="Q4" s="2236"/>
      <c r="R4" s="2236"/>
      <c r="S4" s="2236"/>
      <c r="T4" s="2236"/>
      <c r="U4" s="2236"/>
      <c r="V4" s="2236"/>
      <c r="W4" s="2236"/>
      <c r="X4" s="2236"/>
      <c r="Y4" s="2236"/>
      <c r="Z4" s="2236"/>
      <c r="AA4" s="2236"/>
      <c r="AB4" s="2236"/>
      <c r="AC4" s="2237"/>
      <c r="AD4" s="1206"/>
      <c r="AE4" s="1206"/>
      <c r="AF4" s="2238" t="s">
        <v>2460</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2461</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5" t="str">
        <f>IF(Application!H16="","",Application!H16)</f>
        <v>Ephesian Legacy Court LP</v>
      </c>
      <c r="M6" s="2236"/>
      <c r="N6" s="2236"/>
      <c r="O6" s="2236"/>
      <c r="P6" s="2236"/>
      <c r="Q6" s="2236"/>
      <c r="R6" s="2236"/>
      <c r="S6" s="2236"/>
      <c r="T6" s="2236"/>
      <c r="U6" s="2236"/>
      <c r="V6" s="2236"/>
      <c r="W6" s="2236"/>
      <c r="X6" s="2236"/>
      <c r="Y6" s="2236"/>
      <c r="Z6" s="2236"/>
      <c r="AA6" s="2236"/>
      <c r="AB6" s="2236"/>
      <c r="AC6" s="2237"/>
      <c r="AD6" s="1206"/>
      <c r="AE6" s="1206"/>
      <c r="AF6" s="2241" t="s">
        <v>2462</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2463</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2464</v>
      </c>
      <c r="AG8" s="2241"/>
      <c r="AH8" s="2241"/>
      <c r="AI8" s="2241"/>
      <c r="AJ8" s="2241"/>
      <c r="AK8" s="2241"/>
      <c r="AL8" s="2241"/>
      <c r="AM8" s="2241"/>
      <c r="AN8" s="2241"/>
      <c r="AO8" s="2241"/>
      <c r="AP8" s="2228" t="s">
        <v>2416</v>
      </c>
      <c r="AQ8" s="2228"/>
      <c r="AR8" s="2228"/>
      <c r="AS8" s="2228"/>
      <c r="AT8" s="2228"/>
      <c r="AU8" s="2228"/>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2622</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253">
        <f>Application!AO627</f>
        <v>5380000</v>
      </c>
      <c r="O10" s="2253"/>
      <c r="P10" s="2253"/>
      <c r="Q10" s="2253"/>
      <c r="R10" s="2253"/>
      <c r="S10" s="2253"/>
      <c r="T10" s="2253"/>
      <c r="U10" s="1206"/>
      <c r="V10" s="1206"/>
      <c r="W10" s="1206"/>
      <c r="X10" s="1255"/>
      <c r="Y10" s="1255"/>
      <c r="Z10" s="1255"/>
      <c r="AA10" s="1255"/>
      <c r="AB10" s="1255"/>
      <c r="AC10" s="1255"/>
      <c r="AD10" s="1255"/>
      <c r="AE10" s="1255"/>
      <c r="AF10" s="2238" t="s">
        <v>2621</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2620</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260" t="s">
        <v>1793</v>
      </c>
      <c r="C13" s="2261"/>
      <c r="D13" s="2261"/>
      <c r="E13" s="2261"/>
      <c r="F13" s="2261"/>
      <c r="G13" s="2261"/>
      <c r="H13" s="2261"/>
      <c r="I13" s="2261"/>
      <c r="J13" s="2261"/>
      <c r="K13" s="2261"/>
      <c r="L13" s="2261"/>
      <c r="M13" s="2261"/>
      <c r="N13" s="2261"/>
      <c r="O13" s="2261"/>
      <c r="P13" s="2262"/>
      <c r="Q13" s="2263" t="s">
        <v>678</v>
      </c>
      <c r="R13" s="2264"/>
      <c r="S13" s="2264"/>
      <c r="T13" s="2265"/>
      <c r="U13" s="1255"/>
      <c r="V13" s="1206"/>
      <c r="W13" s="1206"/>
      <c r="X13" s="1206"/>
      <c r="Y13" s="1206"/>
      <c r="Z13" s="1206"/>
      <c r="AA13" s="2254" t="s">
        <v>2466</v>
      </c>
      <c r="AB13" s="2254"/>
      <c r="AC13" s="2254"/>
      <c r="AD13" s="2254"/>
      <c r="AE13" s="2254"/>
      <c r="AF13" s="2254"/>
      <c r="AG13" s="2254"/>
      <c r="AH13" s="2254"/>
      <c r="AI13" s="2254"/>
      <c r="AJ13" s="2254"/>
      <c r="AK13" s="2254"/>
      <c r="AL13" s="2254"/>
      <c r="AM13" s="2254"/>
      <c r="AN13" s="2254"/>
      <c r="AO13" s="2255">
        <f>Application!W473</f>
        <v>0</v>
      </c>
      <c r="AP13" s="2256"/>
      <c r="AQ13" s="2256"/>
      <c r="AR13" s="2256"/>
      <c r="AS13" s="2256"/>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2468</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ht="15" thickBot="1">
      <c r="A15" s="1206"/>
      <c r="B15" s="2266" t="s">
        <v>1794</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2469</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271" t="s">
        <v>1795</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1796</v>
      </c>
      <c r="C18" s="2275"/>
      <c r="D18" s="2275"/>
      <c r="E18" s="2275"/>
      <c r="F18" s="2275"/>
      <c r="G18" s="2275"/>
      <c r="H18" s="2275"/>
      <c r="I18" s="2276"/>
      <c r="J18" s="2277" t="s">
        <v>1697</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1797</v>
      </c>
      <c r="AU18" s="2278"/>
      <c r="AV18" s="2278"/>
      <c r="AW18" s="2278"/>
      <c r="AX18" s="2278"/>
      <c r="AY18" s="2280"/>
      <c r="AZ18" s="1206"/>
      <c r="BA18" s="1206"/>
      <c r="BB18" s="1206"/>
      <c r="BC18" s="1206"/>
      <c r="BD18" s="1206"/>
      <c r="BE18" s="1202"/>
    </row>
    <row r="19" spans="1:58" ht="14.4">
      <c r="A19" s="1206"/>
      <c r="B19" s="2281">
        <v>0.3</v>
      </c>
      <c r="C19" s="2282"/>
      <c r="D19" s="2282"/>
      <c r="E19" s="2282"/>
      <c r="F19" s="2282"/>
      <c r="G19" s="2282"/>
      <c r="H19" s="2282"/>
      <c r="I19" s="2283"/>
      <c r="J19" s="2284">
        <f t="shared" ref="J19:J28" si="0">SUM(P19:AS19)</f>
        <v>25</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25</v>
      </c>
      <c r="W19" s="2285"/>
      <c r="X19" s="2285"/>
      <c r="Y19" s="2285"/>
      <c r="Z19" s="2285"/>
      <c r="AA19" s="2286"/>
      <c r="AB19" s="2284" cm="1">
        <f t="array" ref="AB19">SUMPRODUCT((Application!$B$714:$B$738 = 'CalHFA Addendum'!AB$18)*(Application!$AC$714:$AC$738 = 'CalHFA Addendum'!$B19),Application!$G$714:$G$738)</f>
        <v>0</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0.31645569620253167</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12</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12</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0.15189873417721519</v>
      </c>
      <c r="AU20" s="2288"/>
      <c r="AV20" s="2288"/>
      <c r="AW20" s="2288"/>
      <c r="AX20" s="2288"/>
      <c r="AY20" s="2289"/>
      <c r="AZ20" s="1206"/>
      <c r="BA20" s="1206"/>
      <c r="BB20" s="1206"/>
      <c r="BC20" s="1206"/>
      <c r="BD20" s="1206"/>
      <c r="BE20" s="1202"/>
    </row>
    <row r="21" spans="1:58" ht="14.4">
      <c r="A21" s="1206"/>
      <c r="B21" s="2281">
        <v>0.5</v>
      </c>
      <c r="C21" s="2282"/>
      <c r="D21" s="2282"/>
      <c r="E21" s="2282"/>
      <c r="F21" s="2282"/>
      <c r="G21" s="2282"/>
      <c r="H21" s="2282"/>
      <c r="I21" s="2283"/>
      <c r="J21" s="2284">
        <f t="shared" si="0"/>
        <v>42</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42</v>
      </c>
      <c r="W21" s="2285"/>
      <c r="X21" s="2285"/>
      <c r="Y21" s="2285"/>
      <c r="Z21" s="2285"/>
      <c r="AA21" s="2286"/>
      <c r="AB21" s="2284" cm="1">
        <f t="array" ref="AB21">SUMPRODUCT((Application!$B$714:$B$738 = 'CalHFA Addendum'!AB$18)*(Application!$AC$714:$AC$738 = 'CalHFA Addendum'!$B21),Application!$G$714:$G$738)</f>
        <v>0</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0.53164556962025311</v>
      </c>
      <c r="AU21" s="2288"/>
      <c r="AV21" s="2288"/>
      <c r="AW21" s="2288"/>
      <c r="AX21" s="2288"/>
      <c r="AY21" s="2289"/>
      <c r="AZ21" s="1206"/>
      <c r="BA21" s="1206"/>
      <c r="BB21" s="1206"/>
      <c r="BC21" s="1206"/>
      <c r="BD21" s="1206"/>
      <c r="BE21" s="1202"/>
    </row>
    <row r="22" spans="1:58" ht="14.4">
      <c r="A22" s="1206"/>
      <c r="B22" s="2281">
        <v>0.6</v>
      </c>
      <c r="C22" s="2282"/>
      <c r="D22" s="2282"/>
      <c r="E22" s="2282"/>
      <c r="F22" s="2282"/>
      <c r="G22" s="2282"/>
      <c r="H22" s="2282"/>
      <c r="I22" s="2283"/>
      <c r="J22" s="2284">
        <f t="shared" si="0"/>
        <v>0</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0</v>
      </c>
      <c r="W22" s="2285"/>
      <c r="X22" s="2285"/>
      <c r="Y22" s="2285"/>
      <c r="Z22" s="2285"/>
      <c r="AA22" s="2286"/>
      <c r="AB22" s="2284" cm="1">
        <f t="array" ref="AB22">SUMPRODUCT((Application!$B$714:$B$738 = 'CalHFA Addendum'!AB$18)*(Application!$AC$714:$AC$738 = 'CalHFA Addendum'!$B22),Application!$G$714:$G$738)</f>
        <v>0</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v>
      </c>
      <c r="AU22" s="2288"/>
      <c r="AV22" s="2288"/>
      <c r="AW22" s="2288"/>
      <c r="AX22" s="2288"/>
      <c r="AY22" s="2289"/>
      <c r="AZ22" s="1206"/>
      <c r="BA22" s="1206"/>
      <c r="BB22" s="1206"/>
      <c r="BC22" s="1206"/>
      <c r="BD22" s="1206"/>
      <c r="BE22" s="1202"/>
    </row>
    <row r="23" spans="1:58" ht="14.4">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4.4">
      <c r="A24" s="1206"/>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v>
      </c>
      <c r="AU24" s="2288"/>
      <c r="AV24" s="2288"/>
      <c r="AW24" s="2288"/>
      <c r="AX24" s="2288"/>
      <c r="AY24" s="2289"/>
      <c r="AZ24" s="1206"/>
      <c r="BA24" s="1206"/>
      <c r="BB24" s="1206"/>
      <c r="BC24" s="1206"/>
      <c r="BD24" s="1206"/>
      <c r="BE24" s="1202"/>
    </row>
    <row r="25" spans="1:58" ht="14.4">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4.4">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4.4">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ht="15" thickBot="1">
      <c r="A28" s="1206"/>
      <c r="B28" s="2300" t="s">
        <v>1798</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ht="15" thickBot="1">
      <c r="A29" s="1206"/>
      <c r="B29" s="2315" t="s">
        <v>1697</v>
      </c>
      <c r="C29" s="2316"/>
      <c r="D29" s="2316"/>
      <c r="E29" s="2316"/>
      <c r="F29" s="2316"/>
      <c r="G29" s="2316"/>
      <c r="H29" s="2316"/>
      <c r="I29" s="2317"/>
      <c r="J29" s="2318">
        <f>SUM(J19:O28)</f>
        <v>79</v>
      </c>
      <c r="K29" s="2316"/>
      <c r="L29" s="2316"/>
      <c r="M29" s="2316"/>
      <c r="N29" s="2316"/>
      <c r="O29" s="2317"/>
      <c r="P29" s="2318">
        <f>SUM(P19:U28)</f>
        <v>0</v>
      </c>
      <c r="Q29" s="2316"/>
      <c r="R29" s="2316"/>
      <c r="S29" s="2316"/>
      <c r="T29" s="2316"/>
      <c r="U29" s="2317"/>
      <c r="V29" s="2318">
        <f>SUM(V19:AA28)</f>
        <v>79</v>
      </c>
      <c r="W29" s="2316"/>
      <c r="X29" s="2316"/>
      <c r="Y29" s="2316"/>
      <c r="Z29" s="2316"/>
      <c r="AA29" s="2317"/>
      <c r="AB29" s="2318">
        <f>SUM(AB19:AG28)</f>
        <v>0</v>
      </c>
      <c r="AC29" s="2316"/>
      <c r="AD29" s="2316"/>
      <c r="AE29" s="2316"/>
      <c r="AF29" s="2316"/>
      <c r="AG29" s="2317"/>
      <c r="AH29" s="2318">
        <f>SUM(AH19:AM28)</f>
        <v>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3" t="s">
        <v>1799</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ht="15" thickBot="1">
      <c r="A32" s="1206"/>
      <c r="B32" s="2338" t="s">
        <v>2472</v>
      </c>
      <c r="C32" s="2339"/>
      <c r="D32" s="2339"/>
      <c r="E32" s="2339"/>
      <c r="F32" s="2339"/>
      <c r="G32" s="2339"/>
      <c r="H32" s="2339"/>
      <c r="I32" s="2339"/>
      <c r="J32" s="2309" t="s">
        <v>2473</v>
      </c>
      <c r="K32" s="2310"/>
      <c r="L32" s="2310"/>
      <c r="M32" s="2310"/>
      <c r="N32" s="2309" t="s">
        <v>1800</v>
      </c>
      <c r="O32" s="2310"/>
      <c r="P32" s="2310"/>
      <c r="Q32" s="2312"/>
      <c r="R32" s="2332" t="s">
        <v>1801</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1802</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1803</v>
      </c>
      <c r="AT35" s="2297"/>
      <c r="AU35" s="2297"/>
      <c r="AV35" s="2297"/>
      <c r="AW35" s="2297"/>
      <c r="AX35" s="2298"/>
      <c r="AY35" s="2296" t="s">
        <v>1804</v>
      </c>
      <c r="AZ35" s="2297"/>
      <c r="BA35" s="2297"/>
      <c r="BB35" s="2297"/>
      <c r="BC35" s="2297"/>
      <c r="BD35" s="2299"/>
      <c r="BE35" s="1202"/>
    </row>
    <row r="36" spans="1:58" ht="15.75" customHeight="1">
      <c r="A36" s="1206"/>
      <c r="B36" s="2319" t="s">
        <v>1805</v>
      </c>
      <c r="C36" s="2320"/>
      <c r="D36" s="2320"/>
      <c r="E36" s="2320"/>
      <c r="F36" s="2320"/>
      <c r="G36" s="2320"/>
      <c r="H36" s="2320"/>
      <c r="I36" s="2320"/>
      <c r="J36" s="2321" t="s">
        <v>1806</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0.63291139240506333</v>
      </c>
      <c r="AZ36" s="2349"/>
      <c r="BA36" s="2349"/>
      <c r="BB36" s="2349"/>
      <c r="BC36" s="2349"/>
      <c r="BD36" s="2350"/>
      <c r="BE36" s="1202"/>
    </row>
    <row r="37" spans="1:58" ht="15.75" customHeight="1">
      <c r="A37" s="1206"/>
      <c r="B37" s="2319" t="s">
        <v>2474</v>
      </c>
      <c r="C37" s="2320"/>
      <c r="D37" s="2320"/>
      <c r="E37" s="2320"/>
      <c r="F37" s="2320"/>
      <c r="G37" s="2320"/>
      <c r="H37" s="2320"/>
      <c r="I37" s="2320"/>
      <c r="J37" s="2321" t="s">
        <v>1807</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0.12658227848101267</v>
      </c>
      <c r="AZ37" s="2349"/>
      <c r="BA37" s="2349"/>
      <c r="BB37" s="2349"/>
      <c r="BC37" s="2349"/>
      <c r="BD37" s="2350"/>
      <c r="BE37" s="1202"/>
    </row>
    <row r="38" spans="1:58" ht="15.75" customHeight="1">
      <c r="A38" s="1206"/>
      <c r="B38" s="2319" t="s">
        <v>2413</v>
      </c>
      <c r="C38" s="2320"/>
      <c r="D38" s="2320"/>
      <c r="E38" s="2320"/>
      <c r="F38" s="2320"/>
      <c r="G38" s="2320"/>
      <c r="H38" s="2320"/>
      <c r="I38" s="2320"/>
      <c r="J38" s="2321" t="s">
        <v>1808</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1809</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1809</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1810</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1810</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1811</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1812</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1813</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1814</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1815</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1816</v>
      </c>
      <c r="C51" s="2205"/>
      <c r="D51" s="2205"/>
      <c r="E51" s="2205"/>
      <c r="F51" s="2205"/>
      <c r="G51" s="2205"/>
      <c r="H51" s="2205"/>
      <c r="I51" s="2205"/>
      <c r="J51" s="2205" t="s">
        <v>2476</v>
      </c>
      <c r="K51" s="2205"/>
      <c r="L51" s="2205"/>
      <c r="M51" s="2205"/>
      <c r="N51" s="2205"/>
      <c r="O51" s="2205"/>
      <c r="P51" s="2205"/>
      <c r="Q51" s="2205"/>
      <c r="R51" s="2362" t="s">
        <v>2477</v>
      </c>
      <c r="S51" s="2362"/>
      <c r="T51" s="2362"/>
      <c r="U51" s="2362"/>
      <c r="V51" s="2362"/>
      <c r="W51" s="2362"/>
      <c r="X51" s="2362"/>
      <c r="Y51" s="2362"/>
      <c r="Z51" s="2362" t="s">
        <v>1817</v>
      </c>
      <c r="AA51" s="2362"/>
      <c r="AB51" s="2362"/>
      <c r="AC51" s="2362"/>
      <c r="AD51" s="2362"/>
      <c r="AE51" s="2362"/>
      <c r="AF51" s="2362"/>
      <c r="AG51" s="2362"/>
      <c r="AH51" s="2362" t="s">
        <v>1818</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2184</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2185</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1697</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1816</v>
      </c>
      <c r="C59" s="2387"/>
      <c r="D59" s="2387"/>
      <c r="E59" s="2387"/>
      <c r="F59" s="2387"/>
      <c r="G59" s="2387"/>
      <c r="H59" s="2387"/>
      <c r="I59" s="2388"/>
      <c r="J59" s="2272" t="s">
        <v>2478</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1820</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1821</v>
      </c>
      <c r="AD68" s="2465"/>
      <c r="AE68" s="2465"/>
      <c r="AF68" s="2465"/>
      <c r="AG68" s="2465"/>
      <c r="AH68" s="2465"/>
      <c r="AI68" s="2465"/>
      <c r="AJ68" s="2465"/>
      <c r="AK68" s="2465"/>
      <c r="AL68" s="2465"/>
      <c r="AM68" s="2465"/>
      <c r="AN68" s="2465"/>
      <c r="AO68" s="2465"/>
      <c r="AP68" s="2465"/>
      <c r="AQ68" s="2465"/>
      <c r="AR68" s="2465"/>
      <c r="AS68" s="2465"/>
      <c r="AT68" s="2465"/>
      <c r="AU68" s="2465"/>
      <c r="AV68" s="2591" t="s">
        <v>678</v>
      </c>
      <c r="AW68" s="2424"/>
      <c r="AX68" s="2424"/>
      <c r="AY68" s="2424"/>
      <c r="AZ68" s="2424"/>
      <c r="BA68" s="2424"/>
      <c r="BB68" s="2424"/>
      <c r="BC68" s="2425"/>
      <c r="BD68" s="1206"/>
      <c r="BE68" s="1202"/>
      <c r="BM68" s="1251" t="s">
        <v>2479</v>
      </c>
    </row>
    <row r="69" spans="1:65" ht="15.75" customHeight="1" thickTop="1" thickBot="1">
      <c r="A69" s="1206"/>
      <c r="B69" s="2592" t="s">
        <v>1822</v>
      </c>
      <c r="C69" s="2593"/>
      <c r="D69" s="2593"/>
      <c r="E69" s="2593"/>
      <c r="F69" s="2593"/>
      <c r="G69" s="2593"/>
      <c r="H69" s="2593"/>
      <c r="I69" s="2593"/>
      <c r="J69" s="2593"/>
      <c r="K69" s="2593"/>
      <c r="L69" s="2593"/>
      <c r="M69" s="2593"/>
      <c r="N69" s="2593"/>
      <c r="O69" s="2594" t="s">
        <v>1823</v>
      </c>
      <c r="P69" s="2595"/>
      <c r="Q69" s="2595"/>
      <c r="R69" s="2595"/>
      <c r="S69" s="2595"/>
      <c r="T69" s="2595"/>
      <c r="U69" s="2595"/>
      <c r="V69" s="2595"/>
      <c r="W69" s="2595"/>
      <c r="X69" s="2595"/>
      <c r="Y69" s="2595"/>
      <c r="Z69" s="2595"/>
      <c r="AA69" s="2596"/>
      <c r="AB69" s="1206"/>
      <c r="AC69" s="2597" t="s">
        <v>1824</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554</v>
      </c>
    </row>
    <row r="70" spans="1:65" ht="15.75" customHeight="1">
      <c r="A70" s="1206"/>
      <c r="B70" s="2319" t="s">
        <v>2480</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1825</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678</v>
      </c>
    </row>
    <row r="71" spans="1:65" ht="15.75" customHeight="1" thickBot="1">
      <c r="A71" s="1206"/>
      <c r="B71" s="2319" t="s">
        <v>2481</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1826</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2482</v>
      </c>
    </row>
    <row r="72" spans="1:65" ht="15.75" customHeight="1">
      <c r="A72" s="1206"/>
      <c r="B72" s="2319" t="s">
        <v>2483</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2484</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2485</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2186</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2" t="s">
        <v>2550</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2169</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2617</v>
      </c>
      <c r="AK83" s="2246"/>
      <c r="AL83" s="2246"/>
      <c r="AM83" s="2246"/>
      <c r="AN83" s="2246"/>
      <c r="AO83" s="2246"/>
      <c r="AP83" s="2246"/>
      <c r="AQ83" s="2246"/>
      <c r="AR83" s="2246"/>
      <c r="AS83" s="2246"/>
      <c r="AT83" s="2246"/>
      <c r="AU83" s="2246"/>
      <c r="AV83" s="2246"/>
      <c r="AW83" s="2246"/>
      <c r="AX83" s="2246"/>
      <c r="AY83" s="2249" t="s">
        <v>554</v>
      </c>
      <c r="AZ83" s="2249"/>
      <c r="BA83" s="2249"/>
      <c r="BB83" s="2250"/>
      <c r="BC83" s="1206"/>
      <c r="BD83" s="1206"/>
      <c r="BE83" s="1202"/>
    </row>
    <row r="84" spans="1:70" ht="15.75" customHeight="1">
      <c r="A84" s="1206"/>
      <c r="B84" s="2204"/>
      <c r="C84" s="2205"/>
      <c r="D84" s="2205"/>
      <c r="E84" s="2205"/>
      <c r="F84" s="2205"/>
      <c r="G84" s="2205"/>
      <c r="H84" s="2205"/>
      <c r="I84" s="2205" t="s">
        <v>1827</v>
      </c>
      <c r="J84" s="2205"/>
      <c r="K84" s="2205"/>
      <c r="L84" s="2205"/>
      <c r="M84" s="2205"/>
      <c r="N84" s="2205"/>
      <c r="O84" s="2205" t="s">
        <v>1828</v>
      </c>
      <c r="P84" s="2205"/>
      <c r="Q84" s="2205"/>
      <c r="R84" s="2205"/>
      <c r="S84" s="2205"/>
      <c r="T84" s="2205"/>
      <c r="U84" s="2205"/>
      <c r="V84" s="2201" t="s">
        <v>2187</v>
      </c>
      <c r="W84" s="2201"/>
      <c r="X84" s="2201"/>
      <c r="Y84" s="2201"/>
      <c r="Z84" s="2201"/>
      <c r="AA84" s="2201"/>
      <c r="AB84" s="2202" t="s">
        <v>1829</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2170</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2171</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2486</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1830</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2" t="s">
        <v>2550</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2614</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2613</v>
      </c>
      <c r="AK96" s="2246"/>
      <c r="AL96" s="2246"/>
      <c r="AM96" s="2246"/>
      <c r="AN96" s="2246"/>
      <c r="AO96" s="2246"/>
      <c r="AP96" s="2246"/>
      <c r="AQ96" s="2246"/>
      <c r="AR96" s="2246"/>
      <c r="AS96" s="2246"/>
      <c r="AT96" s="2246"/>
      <c r="AU96" s="2246"/>
      <c r="AV96" s="2246"/>
      <c r="AW96" s="2246"/>
      <c r="AX96" s="2246"/>
      <c r="AY96" s="2249" t="s">
        <v>554</v>
      </c>
      <c r="AZ96" s="2249"/>
      <c r="BA96" s="2249"/>
      <c r="BB96" s="2250"/>
      <c r="BC96" s="1206"/>
      <c r="BD96" s="1206"/>
      <c r="BE96" s="1202"/>
      <c r="BQ96" s="1245" t="str">
        <f>Application!M243</f>
        <v xml:space="preserve">CHDC Ephesian Legacy Court, LLC </v>
      </c>
      <c r="BR96" s="1245">
        <f>Application!AH245</f>
        <v>0</v>
      </c>
    </row>
    <row r="97" spans="1:70" ht="15.75" customHeight="1">
      <c r="A97" s="1206"/>
      <c r="B97" s="2204"/>
      <c r="C97" s="2205"/>
      <c r="D97" s="2205"/>
      <c r="E97" s="2205"/>
      <c r="F97" s="2205"/>
      <c r="G97" s="2205"/>
      <c r="H97" s="2205"/>
      <c r="I97" s="2205" t="s">
        <v>1827</v>
      </c>
      <c r="J97" s="2205"/>
      <c r="K97" s="2205"/>
      <c r="L97" s="2205"/>
      <c r="M97" s="2205"/>
      <c r="N97" s="2205"/>
      <c r="O97" s="2205" t="s">
        <v>1828</v>
      </c>
      <c r="P97" s="2205"/>
      <c r="Q97" s="2205"/>
      <c r="R97" s="2205"/>
      <c r="S97" s="2205"/>
      <c r="T97" s="2205"/>
      <c r="U97" s="2205"/>
      <c r="V97" s="2201" t="s">
        <v>2187</v>
      </c>
      <c r="W97" s="2201"/>
      <c r="X97" s="2201"/>
      <c r="Y97" s="2201"/>
      <c r="Z97" s="2201"/>
      <c r="AA97" s="2201"/>
      <c r="AB97" s="2202" t="s">
        <v>1829</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t="str">
        <f>Application!M251</f>
        <v xml:space="preserve">Ephesian Legacy Court Berkeley LLC </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f>Application!M259</f>
        <v>0</v>
      </c>
      <c r="BR98" s="1245">
        <f>Application!AH261</f>
        <v>0</v>
      </c>
    </row>
    <row r="99" spans="1:70" ht="15.75" customHeight="1">
      <c r="A99" s="1206"/>
      <c r="B99" s="2204" t="s">
        <v>2170</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2171</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2486</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1830</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2610</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1827</v>
      </c>
      <c r="J108" s="2205"/>
      <c r="K108" s="2205"/>
      <c r="L108" s="2205"/>
      <c r="M108" s="2205"/>
      <c r="N108" s="2205"/>
      <c r="O108" s="2205" t="s">
        <v>1828</v>
      </c>
      <c r="P108" s="2205"/>
      <c r="Q108" s="2205"/>
      <c r="R108" s="2205"/>
      <c r="S108" s="2205"/>
      <c r="T108" s="2205"/>
      <c r="U108" s="2205"/>
      <c r="V108" s="2201" t="s">
        <v>2187</v>
      </c>
      <c r="W108" s="2201"/>
      <c r="X108" s="2201"/>
      <c r="Y108" s="2201"/>
      <c r="Z108" s="2201"/>
      <c r="AA108" s="2201"/>
      <c r="AB108" s="2202" t="s">
        <v>1829</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2170</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2171</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1830</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2487</v>
      </c>
      <c r="C117" s="2246"/>
      <c r="D117" s="2246"/>
      <c r="E117" s="2246"/>
      <c r="F117" s="2246"/>
      <c r="G117" s="2246"/>
      <c r="H117" s="2246"/>
      <c r="I117" s="2246"/>
      <c r="J117" s="2246"/>
      <c r="K117" s="2246"/>
      <c r="L117" s="2246"/>
      <c r="M117" s="2246"/>
      <c r="N117" s="2246"/>
      <c r="O117" s="2246"/>
      <c r="P117" s="2246"/>
      <c r="Q117" s="2249" t="s">
        <v>554</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2188</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2172</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1687</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2173</v>
      </c>
      <c r="J127" s="2205"/>
      <c r="K127" s="2205"/>
      <c r="L127" s="2205"/>
      <c r="M127" s="2205"/>
      <c r="N127" s="2205"/>
      <c r="O127" s="2414" t="s">
        <v>2174</v>
      </c>
      <c r="P127" s="2414"/>
      <c r="Q127" s="2414"/>
      <c r="R127" s="2414"/>
      <c r="S127" s="2414"/>
      <c r="T127" s="2414"/>
      <c r="U127" s="2415"/>
      <c r="V127" s="1206"/>
      <c r="W127" s="1206"/>
      <c r="X127" s="2392" t="s">
        <v>2186</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2175</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2176</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1833</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1828</v>
      </c>
      <c r="J134" s="2436"/>
      <c r="K134" s="2436"/>
      <c r="L134" s="2436"/>
      <c r="M134" s="2436"/>
      <c r="N134" s="2436"/>
      <c r="O134" s="2436"/>
      <c r="P134" s="2436" t="s">
        <v>2187</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2175</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2176</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1834</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554</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1835</v>
      </c>
      <c r="C140" s="2427"/>
      <c r="D140" s="2427"/>
      <c r="E140" s="2427"/>
      <c r="F140" s="2427"/>
      <c r="G140" s="2427"/>
      <c r="H140" s="2427"/>
      <c r="I140" s="2427"/>
      <c r="J140" s="2427"/>
      <c r="K140" s="2427"/>
      <c r="L140" s="2427"/>
      <c r="M140" s="2427"/>
      <c r="N140" s="2427"/>
      <c r="O140" s="2427"/>
      <c r="P140" s="2427"/>
      <c r="Q140" s="2427"/>
      <c r="R140" s="2428" t="s">
        <v>2189</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2190</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1837</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2192</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1828</v>
      </c>
      <c r="J155" s="2436"/>
      <c r="K155" s="2436"/>
      <c r="L155" s="2436"/>
      <c r="M155" s="2436"/>
      <c r="N155" s="2436"/>
      <c r="O155" s="2436"/>
      <c r="P155" s="2436" t="s">
        <v>2193</v>
      </c>
      <c r="Q155" s="2436"/>
      <c r="R155" s="2436"/>
      <c r="S155" s="2436"/>
      <c r="T155" s="2436"/>
      <c r="U155" s="2437"/>
      <c r="V155" s="1206"/>
      <c r="W155" s="1206"/>
      <c r="X155" s="2412"/>
      <c r="Y155" s="2413"/>
      <c r="Z155" s="2413"/>
      <c r="AA155" s="2413"/>
      <c r="AB155" s="2413"/>
      <c r="AC155" s="2413"/>
      <c r="AD155" s="2413"/>
      <c r="AE155" s="2436" t="s">
        <v>1828</v>
      </c>
      <c r="AF155" s="2436"/>
      <c r="AG155" s="2436"/>
      <c r="AH155" s="2436"/>
      <c r="AI155" s="2436"/>
      <c r="AJ155" s="2436"/>
      <c r="AK155" s="2436"/>
      <c r="AL155" s="2436" t="s">
        <v>2187</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2175</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2175</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2176</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2177</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1838</v>
      </c>
      <c r="D161" s="2413"/>
      <c r="E161" s="2413"/>
      <c r="F161" s="2413"/>
      <c r="G161" s="2413"/>
      <c r="H161" s="2413"/>
      <c r="I161" s="2413"/>
      <c r="J161" s="2413"/>
      <c r="K161" s="2413"/>
      <c r="L161" s="2413"/>
      <c r="M161" s="2413"/>
      <c r="N161" s="2413"/>
      <c r="O161" s="2413"/>
      <c r="P161" s="2413"/>
      <c r="Q161" s="2413" t="s">
        <v>1839</v>
      </c>
      <c r="R161" s="2413"/>
      <c r="S161" s="2413"/>
      <c r="T161" s="2202" t="s">
        <v>2178</v>
      </c>
      <c r="U161" s="2202"/>
      <c r="V161" s="2202"/>
      <c r="W161" s="2202"/>
      <c r="X161" s="2202"/>
      <c r="Y161" s="2202"/>
      <c r="Z161" s="2202"/>
      <c r="AA161" s="2202"/>
      <c r="AB161" s="2413" t="s">
        <v>1840</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1841</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1842</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1843</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1814</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1844</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1844</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1844</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1845</v>
      </c>
      <c r="D170" s="2465"/>
      <c r="E170" s="2465"/>
      <c r="F170" s="2465"/>
      <c r="G170" s="2465"/>
      <c r="H170" s="2465"/>
      <c r="I170" s="2465"/>
      <c r="J170" s="2465"/>
      <c r="K170" s="2465"/>
      <c r="L170" s="2465"/>
      <c r="M170" s="2465"/>
      <c r="N170" s="2466"/>
      <c r="O170" s="1206"/>
      <c r="P170" s="2422" t="s">
        <v>1846</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1847</v>
      </c>
      <c r="D171" s="2413"/>
      <c r="E171" s="2413"/>
      <c r="F171" s="2413"/>
      <c r="G171" s="2413"/>
      <c r="H171" s="2413"/>
      <c r="I171" s="2413" t="s">
        <v>1848</v>
      </c>
      <c r="J171" s="2413"/>
      <c r="K171" s="2413"/>
      <c r="L171" s="2413"/>
      <c r="M171" s="2413"/>
      <c r="N171" s="2438"/>
      <c r="O171" s="1206"/>
      <c r="P171" s="2392" t="s">
        <v>2186</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2488</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2603</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2624</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1838</v>
      </c>
      <c r="D182" s="2465"/>
      <c r="E182" s="2465"/>
      <c r="F182" s="2465"/>
      <c r="G182" s="2465"/>
      <c r="H182" s="2465"/>
      <c r="I182" s="2465"/>
      <c r="J182" s="2465"/>
      <c r="K182" s="2465"/>
      <c r="L182" s="2465"/>
      <c r="M182" s="2465"/>
      <c r="N182" s="2465" t="s">
        <v>1849</v>
      </c>
      <c r="O182" s="2465"/>
      <c r="P182" s="2465"/>
      <c r="Q182" s="2465"/>
      <c r="R182" s="2465"/>
      <c r="S182" s="2465"/>
      <c r="T182" s="2465"/>
      <c r="U182" s="2360" t="s">
        <v>1838</v>
      </c>
      <c r="V182" s="2360"/>
      <c r="W182" s="2360"/>
      <c r="X182" s="2360"/>
      <c r="Y182" s="2360"/>
      <c r="Z182" s="2360"/>
      <c r="AA182" s="2360"/>
      <c r="AB182" s="2360"/>
      <c r="AC182" s="2360"/>
      <c r="AD182" s="2360"/>
      <c r="AE182" s="2361"/>
      <c r="AF182" s="1206"/>
      <c r="AG182" s="1206"/>
      <c r="AH182" s="2217" t="s">
        <v>2608</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2489</v>
      </c>
      <c r="D183" s="2208"/>
      <c r="E183" s="2208"/>
      <c r="F183" s="2208"/>
      <c r="G183" s="2208"/>
      <c r="H183" s="2208"/>
      <c r="I183" s="2208"/>
      <c r="J183" s="2208"/>
      <c r="K183" s="2208"/>
      <c r="L183" s="2208"/>
      <c r="M183" s="2208"/>
      <c r="N183" s="2470">
        <f>'Sources and Uses Budget'!B105</f>
        <v>75174582.090901256</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2607</v>
      </c>
      <c r="AI183" s="2217"/>
      <c r="AJ183" s="2217"/>
      <c r="AK183" s="2217"/>
      <c r="AL183" s="2217"/>
      <c r="AM183" s="2217"/>
      <c r="AN183" s="2217"/>
      <c r="AO183" s="2217"/>
      <c r="AP183" s="2217"/>
      <c r="AQ183" s="2217"/>
      <c r="AR183" s="2217"/>
      <c r="AS183" s="2217"/>
      <c r="AT183" s="2217"/>
      <c r="AU183" s="2184">
        <f>MAX(0,Application!AG439-100)*20000</f>
        <v>0</v>
      </c>
      <c r="AV183" s="2184"/>
      <c r="AW183" s="2184"/>
      <c r="AX183" s="2184"/>
      <c r="AY183" s="2184"/>
      <c r="AZ183" s="2184"/>
      <c r="BA183" s="2184"/>
      <c r="BB183" s="2184"/>
      <c r="BC183" s="2188"/>
      <c r="BD183" s="2189"/>
      <c r="BE183" s="2190"/>
    </row>
    <row r="184" spans="1:57" ht="15.75" customHeight="1">
      <c r="A184" s="1206"/>
      <c r="B184" s="1206"/>
      <c r="C184" s="2207" t="s">
        <v>2490</v>
      </c>
      <c r="D184" s="2208"/>
      <c r="E184" s="2208"/>
      <c r="F184" s="2208"/>
      <c r="G184" s="2208"/>
      <c r="H184" s="2208"/>
      <c r="I184" s="2208"/>
      <c r="J184" s="2208"/>
      <c r="K184" s="2208"/>
      <c r="L184" s="2208"/>
      <c r="M184" s="2208"/>
      <c r="N184" s="2470">
        <f>N183/J29</f>
        <v>951576.98849242099</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2606</v>
      </c>
      <c r="AI184" s="2194"/>
      <c r="AJ184" s="2194"/>
      <c r="AK184" s="2194"/>
      <c r="AL184" s="2194"/>
      <c r="AM184" s="2194"/>
      <c r="AN184" s="2194"/>
      <c r="AO184" s="2194"/>
      <c r="AP184" s="2194"/>
      <c r="AQ184" s="2194"/>
      <c r="AR184" s="2194"/>
      <c r="AS184" s="2194"/>
      <c r="AT184" s="2194"/>
      <c r="AU184" s="2185">
        <f>AU182+AU183</f>
        <v>2500000</v>
      </c>
      <c r="AV184" s="2185"/>
      <c r="AW184" s="2185"/>
      <c r="AX184" s="2185"/>
      <c r="AY184" s="2185"/>
      <c r="AZ184" s="2185"/>
      <c r="BA184" s="2185"/>
      <c r="BB184" s="2185"/>
      <c r="BC184" s="2188"/>
      <c r="BD184" s="2189"/>
      <c r="BE184" s="2190"/>
    </row>
    <row r="185" spans="1:57" ht="15.75" customHeight="1">
      <c r="A185" s="1206"/>
      <c r="B185" s="1206"/>
      <c r="C185" s="2473" t="s">
        <v>2491</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2605</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2492</v>
      </c>
      <c r="D186" s="2208"/>
      <c r="E186" s="2208"/>
      <c r="F186" s="2208"/>
      <c r="G186" s="2208"/>
      <c r="H186" s="2208"/>
      <c r="I186" s="2208"/>
      <c r="J186" s="2208"/>
      <c r="K186" s="2208"/>
      <c r="L186" s="2208"/>
      <c r="M186" s="2208"/>
      <c r="N186" s="2469">
        <f>SUM('Sources and Uses Budget'!B85:B86)</f>
        <v>2607868.1496000001</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2493</v>
      </c>
      <c r="D187" s="2208"/>
      <c r="E187" s="2208"/>
      <c r="F187" s="2208"/>
      <c r="G187" s="2208"/>
      <c r="H187" s="2208"/>
      <c r="I187" s="2208"/>
      <c r="J187" s="2208"/>
      <c r="K187" s="2208"/>
      <c r="L187" s="2208"/>
      <c r="M187" s="2208"/>
      <c r="N187" s="2469">
        <f>'Sources and Uses Budget'!B8</f>
        <v>6087290</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1850</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2494</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1850</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2495</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2604</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1844</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2603</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1844</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1844</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1851</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1852</v>
      </c>
      <c r="D193" s="2495"/>
      <c r="E193" s="2495"/>
      <c r="F193" s="2495"/>
      <c r="G193" s="2495"/>
      <c r="H193" s="2495"/>
      <c r="I193" s="2495"/>
      <c r="J193" s="2495"/>
      <c r="K193" s="2495"/>
      <c r="L193" s="2495"/>
      <c r="M193" s="2495"/>
      <c r="N193" s="2496">
        <f>SUM(N185:T192)</f>
        <v>8695158.1495999992</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2602</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2496</v>
      </c>
      <c r="D194" s="2538"/>
      <c r="E194" s="2538"/>
      <c r="F194" s="2538"/>
      <c r="G194" s="2538"/>
      <c r="H194" s="2538"/>
      <c r="I194" s="2538"/>
      <c r="J194" s="2538"/>
      <c r="K194" s="2538"/>
      <c r="L194" s="2538"/>
      <c r="M194" s="2538"/>
      <c r="N194" s="2539">
        <f>(N183-N193)/J29</f>
        <v>841511.69545950962</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2601</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2600</v>
      </c>
      <c r="D198" s="2197"/>
      <c r="E198" s="2197"/>
      <c r="F198" s="2197"/>
      <c r="G198" s="2197"/>
      <c r="H198" s="2197"/>
      <c r="I198" s="2197"/>
      <c r="J198" s="2197"/>
      <c r="K198" s="2197"/>
      <c r="L198" s="2197"/>
      <c r="M198" s="2197"/>
      <c r="N198" s="2197"/>
      <c r="O198" s="2198" t="s">
        <v>2599</v>
      </c>
      <c r="P198" s="2198"/>
      <c r="Q198" s="2198"/>
      <c r="R198" s="2198"/>
      <c r="S198" s="2198"/>
      <c r="T198" s="2198"/>
      <c r="U198" s="2198"/>
      <c r="V198" s="2198"/>
      <c r="W198" s="2198"/>
      <c r="X198" s="2198" t="s">
        <v>2598</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2597</v>
      </c>
      <c r="D199" s="2195"/>
      <c r="E199" s="2195"/>
      <c r="F199" s="2195"/>
      <c r="G199" s="2195"/>
      <c r="H199" s="2195"/>
      <c r="I199" s="2195"/>
      <c r="J199" s="2195"/>
      <c r="K199" s="2195"/>
      <c r="L199" s="2195"/>
      <c r="M199" s="2195"/>
      <c r="N199" s="2195"/>
      <c r="O199" s="2490" t="s">
        <v>2596</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866</v>
      </c>
      <c r="D200" s="2195"/>
      <c r="E200" s="2195"/>
      <c r="F200" s="2195"/>
      <c r="G200" s="2195"/>
      <c r="H200" s="2195"/>
      <c r="I200" s="2195"/>
      <c r="J200" s="2195"/>
      <c r="K200" s="2195"/>
      <c r="L200" s="2195"/>
      <c r="M200" s="2195"/>
      <c r="N200" s="2195"/>
      <c r="O200" s="2490" t="s">
        <v>2596</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2595</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2594</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2593</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2592</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2591</v>
      </c>
      <c r="D205" s="2516"/>
      <c r="E205" s="2516"/>
      <c r="F205" s="2517"/>
      <c r="G205" s="2521" t="s">
        <v>2590</v>
      </c>
      <c r="H205" s="2516"/>
      <c r="I205" s="2516"/>
      <c r="J205" s="2516"/>
      <c r="K205" s="2516"/>
      <c r="L205" s="2516"/>
      <c r="M205" s="2516"/>
      <c r="N205" s="2516"/>
      <c r="O205" s="2517"/>
      <c r="P205" s="2523" t="s">
        <v>2589</v>
      </c>
      <c r="Q205" s="2524"/>
      <c r="R205" s="2524"/>
      <c r="S205" s="2524"/>
      <c r="T205" s="2525"/>
      <c r="U205" s="2529" t="s">
        <v>2588</v>
      </c>
      <c r="V205" s="2530"/>
      <c r="W205" s="2530"/>
      <c r="X205" s="2531"/>
      <c r="Y205" s="2529" t="s">
        <v>2587</v>
      </c>
      <c r="Z205" s="2530"/>
      <c r="AA205" s="2530"/>
      <c r="AB205" s="2531"/>
      <c r="AC205" s="2529" t="s">
        <v>2586</v>
      </c>
      <c r="AD205" s="2530"/>
      <c r="AE205" s="2530"/>
      <c r="AF205" s="2531"/>
      <c r="AG205" s="2521" t="s">
        <v>2585</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2153</v>
      </c>
      <c r="H207" s="2176"/>
      <c r="I207" s="2176"/>
      <c r="J207" s="2176"/>
      <c r="K207" s="2176"/>
      <c r="L207" s="2176"/>
      <c r="M207" s="2176"/>
      <c r="N207" s="2176"/>
      <c r="O207" s="2176"/>
      <c r="P207" s="2177"/>
      <c r="Q207" s="2581"/>
      <c r="R207" s="2581"/>
      <c r="S207" s="2581"/>
      <c r="T207" s="2581"/>
      <c r="U207" s="2178" t="s">
        <v>2153</v>
      </c>
      <c r="V207" s="2178"/>
      <c r="W207" s="2178"/>
      <c r="X207" s="2178"/>
      <c r="Y207" s="2178" t="s">
        <v>2153</v>
      </c>
      <c r="Z207" s="2178"/>
      <c r="AA207" s="2178"/>
      <c r="AB207" s="2178"/>
      <c r="AC207" s="2179" t="s">
        <v>2153</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2153</v>
      </c>
      <c r="H208" s="2176"/>
      <c r="I208" s="2176"/>
      <c r="J208" s="2176"/>
      <c r="K208" s="2176"/>
      <c r="L208" s="2176"/>
      <c r="M208" s="2176"/>
      <c r="N208" s="2176"/>
      <c r="O208" s="2176"/>
      <c r="P208" s="2177"/>
      <c r="Q208" s="2177"/>
      <c r="R208" s="2177"/>
      <c r="S208" s="2177"/>
      <c r="T208" s="2177"/>
      <c r="U208" s="2178" t="s">
        <v>2153</v>
      </c>
      <c r="V208" s="2178"/>
      <c r="W208" s="2178"/>
      <c r="X208" s="2178"/>
      <c r="Y208" s="2178" t="s">
        <v>2153</v>
      </c>
      <c r="Z208" s="2178"/>
      <c r="AA208" s="2178"/>
      <c r="AB208" s="2178"/>
      <c r="AC208" s="2179" t="s">
        <v>2153</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2153</v>
      </c>
      <c r="H209" s="2176"/>
      <c r="I209" s="2176"/>
      <c r="J209" s="2176"/>
      <c r="K209" s="2176"/>
      <c r="L209" s="2176"/>
      <c r="M209" s="2176"/>
      <c r="N209" s="2176"/>
      <c r="O209" s="2176"/>
      <c r="P209" s="2177"/>
      <c r="Q209" s="2177"/>
      <c r="R209" s="2177"/>
      <c r="S209" s="2177"/>
      <c r="T209" s="2177"/>
      <c r="U209" s="2178" t="s">
        <v>2153</v>
      </c>
      <c r="V209" s="2178"/>
      <c r="W209" s="2178"/>
      <c r="X209" s="2178"/>
      <c r="Y209" s="2178" t="s">
        <v>2153</v>
      </c>
      <c r="Z209" s="2178"/>
      <c r="AA209" s="2178"/>
      <c r="AB209" s="2178"/>
      <c r="AC209" s="2179" t="s">
        <v>2153</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2153</v>
      </c>
      <c r="H210" s="2176"/>
      <c r="I210" s="2176"/>
      <c r="J210" s="2176"/>
      <c r="K210" s="2176"/>
      <c r="L210" s="2176"/>
      <c r="M210" s="2176"/>
      <c r="N210" s="2176"/>
      <c r="O210" s="2176"/>
      <c r="P210" s="2177"/>
      <c r="Q210" s="2177"/>
      <c r="R210" s="2177"/>
      <c r="S210" s="2177"/>
      <c r="T210" s="2177"/>
      <c r="U210" s="2178" t="s">
        <v>2153</v>
      </c>
      <c r="V210" s="2178"/>
      <c r="W210" s="2178"/>
      <c r="X210" s="2178"/>
      <c r="Y210" s="2178" t="s">
        <v>2153</v>
      </c>
      <c r="Z210" s="2178"/>
      <c r="AA210" s="2178"/>
      <c r="AB210" s="2178"/>
      <c r="AC210" s="2179" t="s">
        <v>2153</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2153</v>
      </c>
      <c r="V211" s="2178"/>
      <c r="W211" s="2178"/>
      <c r="X211" s="2178"/>
      <c r="Y211" s="2178" t="s">
        <v>2153</v>
      </c>
      <c r="Z211" s="2178"/>
      <c r="AA211" s="2178"/>
      <c r="AB211" s="2178"/>
      <c r="AC211" s="2179" t="s">
        <v>2153</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2153</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2153</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2153</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2584</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1853</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1854</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1855</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1856</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1858</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2497</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1859</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1860</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1861</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444</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1862</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1863</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84" workbookViewId="0">
      <selection activeCell="AB51" sqref="AB51"/>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58" t="s">
        <v>1389</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 customHeight="1">
      <c r="B11" s="2621" t="s">
        <v>376</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63590342.991376221</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0</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 customHeight="1">
      <c r="B12" s="2662" t="s">
        <v>506</v>
      </c>
      <c r="C12" s="1281"/>
      <c r="D12" s="1281"/>
      <c r="E12" s="1281"/>
      <c r="F12" s="1281"/>
      <c r="G12" s="1281"/>
      <c r="H12" s="1281"/>
      <c r="I12" s="1281"/>
      <c r="J12" s="1281"/>
      <c r="K12" s="1281"/>
      <c r="L12" s="1281"/>
      <c r="M12" s="1281"/>
      <c r="N12" s="1281"/>
      <c r="O12" s="1281"/>
      <c r="P12" s="1281"/>
      <c r="Q12" s="1281"/>
      <c r="R12" s="1281"/>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 customHeight="1">
      <c r="B13" s="467"/>
      <c r="C13" s="2664" t="s">
        <v>507</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 customHeight="1">
      <c r="B14" s="467"/>
      <c r="C14" s="2664" t="s">
        <v>508</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 customHeight="1">
      <c r="B15" s="467"/>
      <c r="C15" s="2664" t="s">
        <v>509</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 customHeight="1">
      <c r="B16" s="467"/>
      <c r="C16" s="2664" t="s">
        <v>815</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 customHeight="1">
      <c r="B17" s="467"/>
      <c r="C17" s="2664" t="s">
        <v>510</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 customHeight="1">
      <c r="A18"/>
      <c r="B18" s="1194"/>
      <c r="C18" s="1670" t="s">
        <v>980</v>
      </c>
      <c r="D18" s="1670"/>
      <c r="E18" s="1670"/>
      <c r="F18" s="1670"/>
      <c r="G18" s="1670"/>
      <c r="H18" s="1670"/>
      <c r="I18" s="1670"/>
      <c r="J18" s="1670"/>
      <c r="K18" s="1670"/>
      <c r="L18" s="1670"/>
      <c r="M18" s="1670"/>
      <c r="N18" s="1670"/>
      <c r="O18" s="1670"/>
      <c r="P18" s="1670"/>
      <c r="Q18" s="1670"/>
      <c r="R18" s="1670"/>
      <c r="S18" s="1671"/>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 customHeight="1">
      <c r="B19" s="1194"/>
      <c r="C19" s="1670" t="s">
        <v>980</v>
      </c>
      <c r="D19" s="1670"/>
      <c r="E19" s="1670"/>
      <c r="F19" s="1670"/>
      <c r="G19" s="1670"/>
      <c r="H19" s="1670"/>
      <c r="I19" s="1670"/>
      <c r="J19" s="1670"/>
      <c r="K19" s="1670"/>
      <c r="L19" s="1670"/>
      <c r="M19" s="1670"/>
      <c r="N19" s="1670"/>
      <c r="O19" s="1670"/>
      <c r="P19" s="1670"/>
      <c r="Q19" s="1670"/>
      <c r="R19" s="1670"/>
      <c r="S19" s="1671"/>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 customHeight="1">
      <c r="B20" s="2621" t="s">
        <v>511</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 customHeight="1">
      <c r="B21" s="2621" t="s">
        <v>1372</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 customHeight="1">
      <c r="B22" s="2621" t="s">
        <v>512</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 customHeight="1">
      <c r="B23" s="2621" t="s">
        <v>513</v>
      </c>
      <c r="C23" s="2622"/>
      <c r="D23" s="2622"/>
      <c r="E23" s="2622"/>
      <c r="F23" s="2622"/>
      <c r="G23" s="2622"/>
      <c r="H23" s="2622"/>
      <c r="I23" s="2622"/>
      <c r="J23" s="2622"/>
      <c r="K23" s="2622"/>
      <c r="L23" s="2622"/>
      <c r="M23" s="2622"/>
      <c r="N23" s="2622"/>
      <c r="O23" s="2622"/>
      <c r="P23" s="2622"/>
      <c r="Q23" s="2622"/>
      <c r="R23" s="2622"/>
      <c r="S23" s="2623"/>
      <c r="T23" s="2637">
        <f>T11+T22</f>
        <v>63590342.991376221</v>
      </c>
      <c r="U23" s="2615"/>
      <c r="V23" s="2615"/>
      <c r="W23" s="2615"/>
      <c r="X23" s="2615"/>
      <c r="Y23" s="2637">
        <f>Y11+Y22</f>
        <v>0</v>
      </c>
      <c r="Z23" s="2615"/>
      <c r="AA23" s="2615"/>
      <c r="AB23" s="2615"/>
      <c r="AC23" s="2615"/>
      <c r="AD23" s="2637">
        <f>AD11+AD22</f>
        <v>0</v>
      </c>
      <c r="AE23" s="2615"/>
      <c r="AF23" s="2615"/>
      <c r="AG23" s="2615"/>
      <c r="AH23" s="2615"/>
      <c r="AI23" s="2637">
        <f>AI11+AI22</f>
        <v>0</v>
      </c>
      <c r="AJ23" s="2615"/>
      <c r="AK23" s="2615"/>
      <c r="AL23" s="2615"/>
      <c r="AM23" s="2615"/>
    </row>
    <row r="24" spans="1:40" ht="12.9" customHeight="1">
      <c r="B24" s="2621" t="s">
        <v>981</v>
      </c>
      <c r="C24" s="2622"/>
      <c r="D24" s="2622"/>
      <c r="E24" s="2622"/>
      <c r="F24" s="2622"/>
      <c r="G24" s="2622"/>
      <c r="H24" s="2622"/>
      <c r="I24" s="2622"/>
      <c r="J24" s="2622"/>
      <c r="K24" s="2622"/>
      <c r="L24" s="2622"/>
      <c r="M24" s="2622"/>
      <c r="N24" s="2622"/>
      <c r="O24" s="2622"/>
      <c r="P24" s="2622"/>
      <c r="Q24" s="2622"/>
      <c r="R24" s="2622"/>
      <c r="S24" s="2623"/>
      <c r="T24" s="2625">
        <f>Application!AJ1052</f>
        <v>114913552.8</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 customHeight="1">
      <c r="B25" s="2668" t="s">
        <v>1373</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 customHeight="1">
      <c r="B26" s="2621" t="s">
        <v>514</v>
      </c>
      <c r="C26" s="2622"/>
      <c r="D26" s="2622"/>
      <c r="E26" s="2622"/>
      <c r="F26" s="2622"/>
      <c r="G26" s="2622"/>
      <c r="H26" s="2622"/>
      <c r="I26" s="2622"/>
      <c r="J26" s="2622"/>
      <c r="K26" s="2622"/>
      <c r="L26" s="2622"/>
      <c r="M26" s="2622"/>
      <c r="N26" s="2622"/>
      <c r="O26" s="2622"/>
      <c r="P26" s="2622"/>
      <c r="Q26" s="2622"/>
      <c r="R26" s="2622"/>
      <c r="S26" s="2623"/>
      <c r="T26" s="2637">
        <f>T23*T25</f>
        <v>82667445.888789088</v>
      </c>
      <c r="U26" s="2615"/>
      <c r="V26" s="2615"/>
      <c r="W26" s="2615"/>
      <c r="X26" s="2615"/>
      <c r="Y26" s="2637">
        <f>Y23*Y25</f>
        <v>0</v>
      </c>
      <c r="Z26" s="2615"/>
      <c r="AA26" s="2615"/>
      <c r="AB26" s="2615"/>
      <c r="AC26" s="2615"/>
      <c r="AD26" s="2637">
        <f>AD23*AD25</f>
        <v>0</v>
      </c>
      <c r="AE26" s="2615"/>
      <c r="AF26" s="2615"/>
      <c r="AG26" s="2615"/>
      <c r="AH26" s="2615"/>
      <c r="AI26" s="2637">
        <f>AI23*AI25</f>
        <v>0</v>
      </c>
      <c r="AJ26" s="2615"/>
      <c r="AK26" s="2615"/>
      <c r="AL26" s="2615"/>
      <c r="AM26" s="2615"/>
    </row>
    <row r="27" spans="1:40" ht="12.9"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37">
        <f>IF(ISERROR((T26*T27)),0,(T26*T27))</f>
        <v>82667445.888789088</v>
      </c>
      <c r="U28" s="2615"/>
      <c r="V28" s="2615"/>
      <c r="W28" s="2615"/>
      <c r="X28" s="2615"/>
      <c r="Y28" s="2637">
        <f>IF(ISERROR((Y26*Y27)),0,(Y26*Y27))</f>
        <v>0</v>
      </c>
      <c r="Z28" s="2615"/>
      <c r="AA28" s="2615"/>
      <c r="AB28" s="2615"/>
      <c r="AC28" s="2615"/>
      <c r="AD28" s="2637">
        <f>IF(ISERROR((AD26*AD27)),0,(AD26*AD27))</f>
        <v>0</v>
      </c>
      <c r="AE28" s="2615"/>
      <c r="AF28" s="2615"/>
      <c r="AG28" s="2615"/>
      <c r="AH28" s="2615"/>
      <c r="AI28" s="2637">
        <f>IF(ISERROR((AI26*AI27)),0,(AI26*AI27))</f>
        <v>0</v>
      </c>
      <c r="AJ28" s="2615"/>
      <c r="AK28" s="2615"/>
      <c r="AL28" s="2615"/>
      <c r="AM28" s="2615"/>
    </row>
    <row r="29" spans="1:40" ht="12.9" customHeight="1">
      <c r="B29" s="2621" t="s">
        <v>532</v>
      </c>
      <c r="C29" s="2622"/>
      <c r="D29" s="2622"/>
      <c r="E29" s="2622"/>
      <c r="F29" s="2622"/>
      <c r="G29" s="2622"/>
      <c r="H29" s="2622"/>
      <c r="I29" s="2622"/>
      <c r="J29" s="2622"/>
      <c r="K29" s="2622"/>
      <c r="L29" s="2622"/>
      <c r="M29" s="2622"/>
      <c r="N29" s="2622"/>
      <c r="O29" s="2622"/>
      <c r="P29" s="2622"/>
      <c r="Q29" s="2622"/>
      <c r="R29" s="2622"/>
      <c r="S29" s="2623"/>
      <c r="T29" s="2625">
        <f>T28+Y28+AD28+AI28</f>
        <v>82667445.888789088</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 customHeight="1">
      <c r="B30" s="2641" t="s">
        <v>1375</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 customHeight="1">
      <c r="B31" s="2641" t="s">
        <v>1374</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39" t="s">
        <v>370</v>
      </c>
      <c r="AE35" s="2639"/>
      <c r="AF35" s="2639"/>
      <c r="AG35" s="2639"/>
      <c r="AH35" s="2639"/>
    </row>
    <row r="36" spans="1:76" ht="12.9" customHeight="1">
      <c r="B36" s="438"/>
      <c r="X36" s="443"/>
      <c r="Y36" s="2638"/>
      <c r="Z36" s="2638"/>
      <c r="AA36" s="2638"/>
      <c r="AB36" s="2638"/>
      <c r="AC36" s="2638"/>
      <c r="AD36" s="2639"/>
      <c r="AE36" s="2639"/>
      <c r="AF36" s="2639"/>
      <c r="AG36" s="2639"/>
      <c r="AH36" s="2639"/>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82667445.888789088</v>
      </c>
      <c r="Z38" s="2615"/>
      <c r="AA38" s="2615"/>
      <c r="AB38" s="2615"/>
      <c r="AC38" s="2615"/>
      <c r="AD38" s="2615">
        <f>IF(T24&gt;=(T23+Y23+AD23+AI23),AD28+AI28,0)</f>
        <v>0</v>
      </c>
      <c r="AE38" s="2615"/>
      <c r="AF38" s="2615"/>
      <c r="AG38" s="2615"/>
      <c r="AH38" s="2615"/>
    </row>
    <row r="39" spans="1:76" ht="12.9" customHeight="1">
      <c r="B39" s="2621" t="s">
        <v>1880</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3306698</v>
      </c>
      <c r="Z40" s="2615"/>
      <c r="AA40" s="2615"/>
      <c r="AB40" s="2615"/>
      <c r="AC40" s="2615"/>
      <c r="AD40" s="2637">
        <f>ROUND(AD38*AD39,0)</f>
        <v>0</v>
      </c>
      <c r="AE40" s="2615"/>
      <c r="AF40" s="2615"/>
      <c r="AG40" s="2615"/>
      <c r="AH40" s="2615"/>
    </row>
    <row r="41" spans="1:76" ht="12.9"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3306698</v>
      </c>
      <c r="Z41" s="2636"/>
      <c r="AA41" s="2636"/>
      <c r="AB41" s="2636"/>
      <c r="AC41" s="2636"/>
      <c r="AD41" s="2636"/>
      <c r="AE41" s="2636"/>
      <c r="AF41" s="2636"/>
      <c r="AG41" s="2636"/>
      <c r="AH41" s="2637"/>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35" t="s">
        <v>1385</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 customHeight="1" thickTop="1"/>
    <row r="46" spans="1:76" ht="12.9" customHeight="1">
      <c r="A46" s="435" t="s">
        <v>595</v>
      </c>
      <c r="C46" s="435" t="s">
        <v>283</v>
      </c>
    </row>
    <row r="47" spans="1:76" ht="12.9" customHeight="1">
      <c r="D47" s="435" t="s">
        <v>284</v>
      </c>
      <c r="AB47" s="2629">
        <f>'Sources and Uses Budget'!B105-MAX(IF('Sources and Uses Budget'!B15="",0,'Sources and Uses Budget'!B15),IF(Application!AG394="",0,Application!AG394))</f>
        <v>75174582.090901256</v>
      </c>
      <c r="AC47" s="2630"/>
      <c r="AD47" s="2630"/>
      <c r="AE47" s="2630"/>
      <c r="AF47" s="2631"/>
    </row>
    <row r="48" spans="1:76" ht="12.9" customHeight="1">
      <c r="D48" s="435" t="s">
        <v>21</v>
      </c>
      <c r="AB48" s="2629">
        <f>Application!AO639-MAX(IF('Sources and Uses Budget'!B15="",0,'Sources and Uses Budget'!B15),IF(Application!AG394="",0,Application!AG394))</f>
        <v>45611300.090901256</v>
      </c>
      <c r="AC48" s="2630"/>
      <c r="AD48" s="2630"/>
      <c r="AE48" s="2630"/>
      <c r="AF48" s="2631"/>
    </row>
    <row r="49" spans="1:76" ht="12.9" customHeight="1">
      <c r="D49" s="435" t="s">
        <v>91</v>
      </c>
      <c r="AB49" s="2629">
        <f>AB47-AB48</f>
        <v>29563282</v>
      </c>
      <c r="AC49" s="2630"/>
      <c r="AD49" s="2630"/>
      <c r="AE49" s="2630"/>
      <c r="AF49" s="2631"/>
    </row>
    <row r="50" spans="1:76" ht="12.9" customHeight="1">
      <c r="D50" s="435" t="s">
        <v>690</v>
      </c>
      <c r="AA50" s="446"/>
      <c r="AB50" s="2617">
        <f>([2]EVERYTHING!$H$156-[2]EVERYTHING!$H$112)/([2]EVERYTHING!$H$153*10)</f>
        <v>0.89404239516278772</v>
      </c>
      <c r="AC50" s="2618"/>
      <c r="AD50" s="2618"/>
      <c r="AE50" s="2618"/>
      <c r="AF50" s="2619"/>
    </row>
    <row r="51" spans="1:76" s="448" customFormat="1" ht="12.9" customHeight="1">
      <c r="A51" s="433"/>
      <c r="B51" s="433"/>
      <c r="C51" s="433"/>
      <c r="D51" s="433"/>
      <c r="E51" s="2628" t="s">
        <v>2040</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9">
        <f>ROUND(IF(ISERROR((AB49/AB50)),0,(AB49/AB50)),0)</f>
        <v>33066980</v>
      </c>
      <c r="AC54" s="2630"/>
      <c r="AD54" s="2630"/>
      <c r="AE54" s="2630"/>
      <c r="AF54" s="2631"/>
    </row>
    <row r="55" spans="1:76" ht="12.9" customHeight="1">
      <c r="D55" s="435" t="s">
        <v>334</v>
      </c>
      <c r="AB55" s="2629">
        <f>(AB54/10)</f>
        <v>3306698</v>
      </c>
      <c r="AC55" s="2630"/>
      <c r="AD55" s="2630"/>
      <c r="AE55" s="2630"/>
      <c r="AF55" s="2631"/>
    </row>
    <row r="56" spans="1:76" ht="12.9" customHeight="1">
      <c r="D56" s="435" t="s">
        <v>766</v>
      </c>
      <c r="AB56" s="2632">
        <f>(IF((Y41&lt;AB55),Y41,AB55))</f>
        <v>3306698</v>
      </c>
      <c r="AC56" s="2633"/>
      <c r="AD56" s="2633"/>
      <c r="AE56" s="2633"/>
      <c r="AF56" s="2634"/>
    </row>
    <row r="57" spans="1:76" ht="12.9" customHeight="1">
      <c r="D57" s="435" t="s">
        <v>765</v>
      </c>
      <c r="AB57" s="2629">
        <f>ROUND((10*AB56*AB50),0)</f>
        <v>29563282</v>
      </c>
      <c r="AC57" s="2630"/>
      <c r="AD57" s="2630"/>
      <c r="AE57" s="2630"/>
      <c r="AF57" s="2631"/>
    </row>
    <row r="58" spans="1:76" ht="12.9" customHeight="1">
      <c r="D58" s="435"/>
      <c r="AB58" s="454"/>
      <c r="AC58" s="454"/>
      <c r="AD58" s="454"/>
      <c r="AE58" s="454"/>
      <c r="AF58" s="454"/>
    </row>
    <row r="59" spans="1:76" ht="12.9" customHeight="1">
      <c r="D59" s="435" t="s">
        <v>764</v>
      </c>
      <c r="AB59" s="2613">
        <f>AB49-AB57</f>
        <v>0</v>
      </c>
      <c r="AC59" s="2613"/>
      <c r="AD59" s="2613"/>
      <c r="AE59" s="2613"/>
      <c r="AF59" s="2613"/>
    </row>
    <row r="60" spans="1:76" ht="12.9" customHeight="1">
      <c r="D60" s="435"/>
      <c r="AB60" s="454"/>
      <c r="AC60" s="454"/>
      <c r="AD60" s="454"/>
      <c r="AE60" s="454"/>
      <c r="AF60" s="454"/>
    </row>
    <row r="61" spans="1:76" s="218" customFormat="1" ht="12.9"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 customHeight="1" thickTop="1"/>
    <row r="63" spans="1:76" ht="12.9" customHeight="1">
      <c r="A63" s="435" t="s">
        <v>598</v>
      </c>
      <c r="C63" s="219" t="s">
        <v>1357</v>
      </c>
      <c r="Y63" s="2624" t="s">
        <v>1004</v>
      </c>
      <c r="Z63" s="2624"/>
      <c r="AA63" s="2624"/>
      <c r="AB63" s="2624"/>
      <c r="AC63" s="2624"/>
      <c r="AD63" s="2624" t="s">
        <v>370</v>
      </c>
      <c r="AE63" s="2624"/>
      <c r="AF63" s="2624"/>
      <c r="AG63" s="2624"/>
      <c r="AH63" s="2624"/>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0</v>
      </c>
      <c r="Z64" s="2626"/>
      <c r="AA64" s="2626"/>
      <c r="AB64" s="2626"/>
      <c r="AC64" s="2627"/>
      <c r="AD64" s="2625">
        <f>IF(AND(OR(Application!D211="At-Risk",Application!D211="At-Risk and Special Needs"),Application!M358="yes"),AD28+AI28,0)</f>
        <v>0</v>
      </c>
      <c r="AE64" s="2626"/>
      <c r="AF64" s="2626"/>
      <c r="AG64" s="2626"/>
      <c r="AH64" s="2627"/>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IF(OR(Application!Z205="State Farmworker Credit",Application!Z205="$500M (Farmworker Housing)"),0.75,IF(Application!Z205="15% set-aside",0.13,IF(Application!Z205="15% set-aside with qualifying low value rehab",0.95,0.3)))</f>
        <v>0.3</v>
      </c>
      <c r="Z67" s="2614"/>
      <c r="AA67" s="2614"/>
      <c r="AB67" s="2614"/>
      <c r="AC67" s="2614"/>
      <c r="AD67" s="2614">
        <f>IF(Application!Z205="15% set-aside with qualifying low value rehab", 0.95,0.13)</f>
        <v>0.13</v>
      </c>
      <c r="AE67" s="2614"/>
      <c r="AF67" s="2614"/>
      <c r="AG67" s="2614"/>
      <c r="AH67" s="2614"/>
    </row>
    <row r="68" spans="1:36" ht="12.9" customHeight="1">
      <c r="C68" s="435"/>
      <c r="D68" s="219" t="s">
        <v>2636</v>
      </c>
      <c r="Y68" s="2615">
        <f>ROUND(Y64*Y67,0)</f>
        <v>0</v>
      </c>
      <c r="Z68" s="2616"/>
      <c r="AA68" s="2616"/>
      <c r="AB68" s="2616"/>
      <c r="AC68" s="2616"/>
      <c r="AD68" s="2615">
        <f>ROUND(AD64*AD67,0)</f>
        <v>0</v>
      </c>
      <c r="AE68" s="2616"/>
      <c r="AF68" s="2616"/>
      <c r="AG68" s="2616"/>
      <c r="AH68" s="2616"/>
    </row>
    <row r="69" spans="1:36" ht="12.9" customHeight="1">
      <c r="C69" s="435"/>
      <c r="D69" s="219" t="s">
        <v>2637</v>
      </c>
      <c r="Y69" s="2615">
        <f>IF(OR(Application!Z205="State Farmworker Credit",Application!Z205="$500M (Farmworker Housing)"),Y68+AD68,MIN(Y68+AD68,200000*(Application!G753+Application!O777)))</f>
        <v>0</v>
      </c>
      <c r="Z69" s="2615"/>
      <c r="AA69" s="2615"/>
      <c r="AB69" s="2615"/>
      <c r="AC69" s="2615"/>
      <c r="AD69" s="2615"/>
      <c r="AE69" s="2615"/>
      <c r="AF69" s="2615"/>
      <c r="AG69" s="2615"/>
      <c r="AH69" s="2615"/>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17"/>
      <c r="AC72" s="2618"/>
      <c r="AD72" s="2618"/>
      <c r="AE72" s="2618"/>
      <c r="AF72" s="2619"/>
    </row>
    <row r="73" spans="1:36" ht="12.9" customHeight="1">
      <c r="A73" s="435"/>
      <c r="C73" s="435"/>
      <c r="D73" s="435"/>
      <c r="E73" s="2620" t="s">
        <v>1360</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08">
        <f>ROUND(IF(ISERROR((AB59/AB72)),0,(AB59/AB72)),0)</f>
        <v>0</v>
      </c>
      <c r="AC77" s="2608"/>
      <c r="AD77" s="2608"/>
      <c r="AE77" s="2608"/>
      <c r="AF77" s="2608"/>
    </row>
    <row r="78" spans="1:36" ht="12.9" customHeight="1">
      <c r="C78" s="435"/>
      <c r="D78" s="219" t="s">
        <v>1362</v>
      </c>
      <c r="AB78" s="2609">
        <f>MIN(Y69,AB77)</f>
        <v>0</v>
      </c>
      <c r="AC78" s="2610"/>
      <c r="AD78" s="2610"/>
      <c r="AE78" s="2610"/>
      <c r="AF78" s="2611"/>
    </row>
    <row r="79" spans="1:36" ht="12.9" customHeight="1">
      <c r="C79" s="435"/>
      <c r="D79" s="219" t="s">
        <v>1363</v>
      </c>
      <c r="AB79" s="2612">
        <f>AB78*AB72</f>
        <v>0</v>
      </c>
      <c r="AC79" s="2612"/>
      <c r="AD79" s="2612"/>
      <c r="AE79" s="2612"/>
      <c r="AF79" s="2612"/>
    </row>
    <row r="80" spans="1:36" ht="12.9" customHeight="1">
      <c r="C80" s="435"/>
      <c r="D80" s="435"/>
      <c r="AB80" s="456"/>
      <c r="AC80" s="456"/>
      <c r="AD80" s="456"/>
      <c r="AE80" s="456"/>
      <c r="AF80" s="456"/>
    </row>
    <row r="81" spans="1:78" ht="12.9" customHeight="1">
      <c r="D81" s="435" t="s">
        <v>764</v>
      </c>
      <c r="AB81" s="2613">
        <f>AB49-(AB57+AB79)</f>
        <v>0</v>
      </c>
      <c r="AC81" s="2613"/>
      <c r="AD81" s="2613"/>
      <c r="AE81" s="2613"/>
      <c r="AF81" s="2613"/>
    </row>
    <row r="82" spans="1:78" ht="12.9" customHeight="1">
      <c r="F82" s="556"/>
      <c r="J82" s="556" t="str">
        <f>IF(AB81&gt;0,"FUNDING GAP MUST NOT EXCEED ZERO","")</f>
        <v/>
      </c>
    </row>
    <row r="83" spans="1:78" ht="12.9" customHeight="1">
      <c r="D83" s="557"/>
    </row>
    <row r="84" spans="1:78" ht="12.9"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 customHeight="1" thickTop="1"/>
    <row r="86" spans="1:78" ht="12.9" customHeight="1">
      <c r="A86" s="435"/>
      <c r="C86" s="219"/>
    </row>
    <row r="87" spans="1:78" ht="12.9" customHeight="1">
      <c r="D87" s="219"/>
      <c r="AB87" s="2667"/>
      <c r="AC87" s="2667"/>
      <c r="AD87" s="2667"/>
      <c r="AE87" s="2667"/>
      <c r="AF87" s="2667"/>
    </row>
    <row r="88" spans="1:78" ht="12.9"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F7" sqref="F7"/>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21</v>
      </c>
      <c r="C4" s="1122" t="s">
        <v>386</v>
      </c>
      <c r="D4" s="459">
        <f>Application!O718</f>
        <v>743</v>
      </c>
      <c r="E4" s="460"/>
      <c r="F4" s="1123">
        <v>2211</v>
      </c>
      <c r="G4" s="459">
        <f>F4*B4</f>
        <v>46431</v>
      </c>
      <c r="H4" s="460"/>
      <c r="I4" s="459">
        <f t="shared" ref="I4:I27" si="0">IF(F4=0,"",(F4-D4))</f>
        <v>1468</v>
      </c>
      <c r="J4" s="459">
        <f t="shared" ref="J4:J27" si="1">IF(F4=0,"",(I4*B4))</f>
        <v>30828</v>
      </c>
      <c r="K4" s="218"/>
      <c r="L4" s="328"/>
    </row>
    <row r="5" spans="1:12">
      <c r="A5" s="459" t="str">
        <f>Application!B719</f>
        <v>1 Bedroom</v>
      </c>
      <c r="B5" s="1121">
        <f>Application!G719</f>
        <v>8</v>
      </c>
      <c r="C5" s="1122" t="s">
        <v>386</v>
      </c>
      <c r="D5" s="459">
        <f>Application!O719</f>
        <v>1035</v>
      </c>
      <c r="E5" s="460"/>
      <c r="F5" s="1123">
        <v>2211</v>
      </c>
      <c r="G5" s="459">
        <f t="shared" ref="G5:G38" si="2">F5*B5</f>
        <v>17688</v>
      </c>
      <c r="H5" s="460"/>
      <c r="I5" s="459">
        <f t="shared" si="0"/>
        <v>1176</v>
      </c>
      <c r="J5" s="459">
        <f t="shared" si="1"/>
        <v>9408</v>
      </c>
      <c r="K5" s="218"/>
      <c r="L5" s="328"/>
    </row>
    <row r="6" spans="1:12">
      <c r="A6" s="459" t="str">
        <f>Application!B720</f>
        <v>1 Bedroom</v>
      </c>
      <c r="B6" s="1121">
        <f>Application!G720</f>
        <v>3</v>
      </c>
      <c r="C6" s="1122" t="s">
        <v>386</v>
      </c>
      <c r="D6" s="459">
        <f>Application!O720</f>
        <v>1327</v>
      </c>
      <c r="E6" s="460"/>
      <c r="F6" s="1123">
        <v>2211</v>
      </c>
      <c r="G6" s="459">
        <f t="shared" si="2"/>
        <v>6633</v>
      </c>
      <c r="H6" s="460"/>
      <c r="I6" s="459">
        <f t="shared" si="0"/>
        <v>884</v>
      </c>
      <c r="J6" s="459">
        <f t="shared" si="1"/>
        <v>2652</v>
      </c>
      <c r="K6" s="218"/>
      <c r="L6" s="328"/>
    </row>
    <row r="7" spans="1:12">
      <c r="A7" s="459" t="str">
        <f>Application!B721</f>
        <v>1 Bedroom</v>
      </c>
      <c r="B7" s="1121">
        <f>Application!G721</f>
        <v>4</v>
      </c>
      <c r="C7" s="1122"/>
      <c r="D7" s="459">
        <f>Application!O721</f>
        <v>305</v>
      </c>
      <c r="E7" s="460"/>
      <c r="F7" s="1123"/>
      <c r="G7" s="459">
        <f t="shared" si="2"/>
        <v>0</v>
      </c>
      <c r="H7" s="460"/>
      <c r="I7" s="459" t="str">
        <f t="shared" si="0"/>
        <v/>
      </c>
      <c r="J7" s="459" t="str">
        <f t="shared" si="1"/>
        <v/>
      </c>
      <c r="K7" s="218"/>
      <c r="L7" s="328"/>
    </row>
    <row r="8" spans="1:12">
      <c r="A8" s="459" t="str">
        <f>Application!B722</f>
        <v>1 Bedroom</v>
      </c>
      <c r="B8" s="1121">
        <f>Application!G722</f>
        <v>4</v>
      </c>
      <c r="C8" s="1122"/>
      <c r="D8" s="459">
        <f>Application!O722</f>
        <v>1035</v>
      </c>
      <c r="E8" s="460"/>
      <c r="F8" s="1123"/>
      <c r="G8" s="459">
        <f t="shared" si="2"/>
        <v>0</v>
      </c>
      <c r="H8" s="460"/>
      <c r="I8" s="459" t="str">
        <f t="shared" si="0"/>
        <v/>
      </c>
      <c r="J8" s="459" t="str">
        <f t="shared" si="1"/>
        <v/>
      </c>
      <c r="K8" s="218"/>
      <c r="L8" s="328"/>
    </row>
    <row r="9" spans="1:12">
      <c r="A9" s="459" t="str">
        <f>Application!B723</f>
        <v>1 Bedroom</v>
      </c>
      <c r="B9" s="1121">
        <f>Application!G723</f>
        <v>39</v>
      </c>
      <c r="C9" s="1122"/>
      <c r="D9" s="459">
        <f>Application!O723</f>
        <v>1327</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84977</v>
      </c>
      <c r="E40" s="460"/>
      <c r="F40" s="460"/>
      <c r="G40" s="463">
        <f>SUM(G4:G38)*12</f>
        <v>849024</v>
      </c>
      <c r="H40" s="464"/>
      <c r="I40" s="462"/>
      <c r="J40" s="463">
        <f>SUM(J4:J38)*12</f>
        <v>514656</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2" sqref="E42"/>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1019724</v>
      </c>
      <c r="G4" s="235">
        <f>E4*$C$4</f>
        <v>1045217.0999999999</v>
      </c>
      <c r="I4" s="235">
        <f>G4*$C$4</f>
        <v>1071347.5274999999</v>
      </c>
      <c r="K4" s="235">
        <f>I4*$C$4</f>
        <v>1098131.2156874998</v>
      </c>
      <c r="M4" s="235">
        <f>K4*$C$4</f>
        <v>1125584.4960796873</v>
      </c>
      <c r="O4" s="235">
        <f>M4*$C$4</f>
        <v>1153724.1084816793</v>
      </c>
      <c r="Q4" s="235">
        <f>O4*$C$4</f>
        <v>1182567.2111937213</v>
      </c>
      <c r="S4" s="235">
        <f>Q4*$C$4</f>
        <v>1212131.3914735641</v>
      </c>
      <c r="U4" s="235">
        <f>S4*$C$4</f>
        <v>1242434.6762604031</v>
      </c>
      <c r="W4" s="235">
        <f>U4*$C$4</f>
        <v>1273495.5431669131</v>
      </c>
      <c r="Y4" s="235">
        <f>W4*$C$4</f>
        <v>1305332.9317460859</v>
      </c>
      <c r="AA4" s="235">
        <f>Y4*$C$4</f>
        <v>1337966.2550397378</v>
      </c>
      <c r="AC4" s="235">
        <f>AA4*$C$4</f>
        <v>1371415.4114157311</v>
      </c>
      <c r="AE4" s="235">
        <f>AC4*$C$4</f>
        <v>1405700.7967011242</v>
      </c>
      <c r="AG4" s="235">
        <f>AE4*$C$4</f>
        <v>1440843.3166186521</v>
      </c>
    </row>
    <row r="5" spans="1:34" s="225" customFormat="1" ht="13.8">
      <c r="B5" s="225" t="s">
        <v>850</v>
      </c>
      <c r="C5" s="254">
        <f>IF(Application!$D$211="Special Needs",0.1,0.05)</f>
        <v>0.05</v>
      </c>
      <c r="E5" s="237">
        <f>-E4*$C$5</f>
        <v>-50986.200000000004</v>
      </c>
      <c r="F5" s="237"/>
      <c r="G5" s="237">
        <f>-G4*$C$5</f>
        <v>-52260.854999999996</v>
      </c>
      <c r="H5" s="237"/>
      <c r="I5" s="237">
        <f>-I4*$C$5</f>
        <v>-53567.376374999993</v>
      </c>
      <c r="J5" s="237"/>
      <c r="K5" s="237">
        <f>-K4*$C$5</f>
        <v>-54906.560784374997</v>
      </c>
      <c r="L5" s="237"/>
      <c r="M5" s="237">
        <f>-M4*$C$5</f>
        <v>-56279.224803984369</v>
      </c>
      <c r="N5" s="237"/>
      <c r="O5" s="237">
        <f>-O4*$C$5</f>
        <v>-57686.205424083972</v>
      </c>
      <c r="P5" s="237"/>
      <c r="Q5" s="237">
        <f>-Q4*$C$5</f>
        <v>-59128.360559686065</v>
      </c>
      <c r="R5" s="237"/>
      <c r="S5" s="237">
        <f>-S4*$C$5</f>
        <v>-60606.569573678207</v>
      </c>
      <c r="T5" s="237"/>
      <c r="U5" s="237">
        <f>-U4*$C$5</f>
        <v>-62121.733813020161</v>
      </c>
      <c r="V5" s="237"/>
      <c r="W5" s="237">
        <f>-W4*$C$5</f>
        <v>-63674.777158345656</v>
      </c>
      <c r="X5" s="237"/>
      <c r="Y5" s="237">
        <f>-Y4*$C$5</f>
        <v>-65266.646587304298</v>
      </c>
      <c r="Z5" s="237"/>
      <c r="AA5" s="237">
        <f>-AA4*$C$5</f>
        <v>-66898.312751986887</v>
      </c>
      <c r="AB5" s="237"/>
      <c r="AC5" s="237">
        <f>-AC4*$C$5</f>
        <v>-68570.770570786553</v>
      </c>
      <c r="AD5" s="237"/>
      <c r="AE5" s="237">
        <f>-AE4*$C$5</f>
        <v>-70285.039835056217</v>
      </c>
      <c r="AF5" s="237"/>
      <c r="AG5" s="237">
        <f>-AG4*$C$5</f>
        <v>-72042.165830932601</v>
      </c>
    </row>
    <row r="6" spans="1:34" s="225" customFormat="1" ht="13.8">
      <c r="A6" s="225" t="s">
        <v>848</v>
      </c>
      <c r="C6" s="253">
        <v>1.0249999999999999</v>
      </c>
      <c r="E6" s="238">
        <f>Application!Z809</f>
        <v>514656</v>
      </c>
      <c r="F6" s="238"/>
      <c r="G6" s="238">
        <f>E6*$C$6</f>
        <v>527522.39999999991</v>
      </c>
      <c r="H6" s="238"/>
      <c r="I6" s="238">
        <f>G6*$C$6</f>
        <v>540710.45999999985</v>
      </c>
      <c r="J6" s="238"/>
      <c r="K6" s="238">
        <f>I6*$C$6</f>
        <v>554228.22149999975</v>
      </c>
      <c r="L6" s="238"/>
      <c r="M6" s="238">
        <f>K6*$C$6</f>
        <v>568083.92703749973</v>
      </c>
      <c r="N6" s="238"/>
      <c r="O6" s="238">
        <f>M6*$C$6</f>
        <v>582286.02521343715</v>
      </c>
      <c r="P6" s="238"/>
      <c r="Q6" s="238">
        <f>O6*$C$6</f>
        <v>596843.17584377306</v>
      </c>
      <c r="R6" s="238"/>
      <c r="S6" s="238">
        <f>Q6*$C$6</f>
        <v>611764.25523986737</v>
      </c>
      <c r="T6" s="238"/>
      <c r="U6" s="238">
        <f>S6*$C$6</f>
        <v>627058.36162086402</v>
      </c>
      <c r="V6" s="238"/>
      <c r="W6" s="238">
        <f>U6*$C$6</f>
        <v>642734.82066138554</v>
      </c>
      <c r="X6" s="238"/>
      <c r="Y6" s="238">
        <f>W6*$C$6</f>
        <v>658803.19117792009</v>
      </c>
      <c r="Z6" s="238"/>
      <c r="AA6" s="238">
        <f>Y6*$C$6</f>
        <v>675273.27095736808</v>
      </c>
      <c r="AB6" s="238"/>
      <c r="AC6" s="238">
        <f>AA6*$C$6</f>
        <v>692155.10273130226</v>
      </c>
      <c r="AD6" s="238"/>
      <c r="AE6" s="238">
        <f>AC6*$C$6</f>
        <v>709458.9802995848</v>
      </c>
      <c r="AF6" s="238"/>
      <c r="AG6" s="238">
        <f>AE6*$C$6</f>
        <v>727195.45480707439</v>
      </c>
    </row>
    <row r="7" spans="1:34" s="225" customFormat="1" ht="13.8">
      <c r="B7" s="225" t="s">
        <v>850</v>
      </c>
      <c r="C7" s="254">
        <f>IF(Application!$D$211="Special Needs",0.1,0.05)</f>
        <v>0.05</v>
      </c>
      <c r="E7" s="237">
        <f>-E6*$C$7</f>
        <v>-25732.800000000003</v>
      </c>
      <c r="F7" s="237"/>
      <c r="G7" s="237">
        <f>-G6*$C$7</f>
        <v>-26376.119999999995</v>
      </c>
      <c r="H7" s="237"/>
      <c r="I7" s="237">
        <f>-I6*$C$7</f>
        <v>-27035.522999999994</v>
      </c>
      <c r="J7" s="237"/>
      <c r="K7" s="237">
        <f>-K6*$C$7</f>
        <v>-27711.411074999989</v>
      </c>
      <c r="L7" s="237"/>
      <c r="M7" s="237">
        <f>-M6*$C$7</f>
        <v>-28404.196351874987</v>
      </c>
      <c r="N7" s="237"/>
      <c r="O7" s="237">
        <f>-O6*$C$7</f>
        <v>-29114.301260671858</v>
      </c>
      <c r="P7" s="237"/>
      <c r="Q7" s="237">
        <f>-Q6*$C$7</f>
        <v>-29842.158792188653</v>
      </c>
      <c r="R7" s="237"/>
      <c r="S7" s="237">
        <f>-S6*$C$7</f>
        <v>-30588.212761993371</v>
      </c>
      <c r="T7" s="237"/>
      <c r="U7" s="237">
        <f>-U6*$C$7</f>
        <v>-31352.918081043201</v>
      </c>
      <c r="V7" s="237"/>
      <c r="W7" s="237">
        <f>-W6*$C$7</f>
        <v>-32136.74103306928</v>
      </c>
      <c r="X7" s="237"/>
      <c r="Y7" s="237">
        <f>-Y6*$C$7</f>
        <v>-32940.159558896004</v>
      </c>
      <c r="Z7" s="237"/>
      <c r="AA7" s="237">
        <f>-AA6*$C$7</f>
        <v>-33763.663547868404</v>
      </c>
      <c r="AB7" s="237"/>
      <c r="AC7" s="237">
        <f>-AC6*$C$7</f>
        <v>-34607.755136565116</v>
      </c>
      <c r="AD7" s="237"/>
      <c r="AE7" s="237">
        <f>-AE6*$C$7</f>
        <v>-35472.94901497924</v>
      </c>
      <c r="AF7" s="237"/>
      <c r="AG7" s="237">
        <f>-AG6*$C$7</f>
        <v>-36359.772740353721</v>
      </c>
    </row>
    <row r="8" spans="1:34" s="225" customFormat="1" ht="13.8">
      <c r="A8" s="225" t="s">
        <v>289</v>
      </c>
      <c r="C8" s="253">
        <v>1.0249999999999999</v>
      </c>
      <c r="E8" s="238">
        <f>Application!Z817</f>
        <v>8640</v>
      </c>
      <c r="F8" s="238"/>
      <c r="G8" s="238">
        <f>E8*$C$8</f>
        <v>8856</v>
      </c>
      <c r="H8" s="238"/>
      <c r="I8" s="238">
        <f>G8*$C$8</f>
        <v>9077.4</v>
      </c>
      <c r="J8" s="238"/>
      <c r="K8" s="238">
        <f>I8*$C$8</f>
        <v>9304.3349999999991</v>
      </c>
      <c r="L8" s="238"/>
      <c r="M8" s="238">
        <f>K8*$C$8</f>
        <v>9536.9433749999989</v>
      </c>
      <c r="N8" s="238"/>
      <c r="O8" s="238">
        <f>M8*$C$8</f>
        <v>9775.3669593749983</v>
      </c>
      <c r="P8" s="238"/>
      <c r="Q8" s="238">
        <f>O8*$C$8</f>
        <v>10019.751133359372</v>
      </c>
      <c r="R8" s="238"/>
      <c r="S8" s="238">
        <f>Q8*$C$8</f>
        <v>10270.244911693355</v>
      </c>
      <c r="T8" s="238"/>
      <c r="U8" s="238">
        <f>S8*$C$8</f>
        <v>10527.001034485687</v>
      </c>
      <c r="V8" s="238"/>
      <c r="W8" s="238">
        <f>U8*$C$8</f>
        <v>10790.176060347829</v>
      </c>
      <c r="X8" s="238"/>
      <c r="Y8" s="238">
        <f>W8*$C$8</f>
        <v>11059.930461856524</v>
      </c>
      <c r="Z8" s="238"/>
      <c r="AA8" s="238">
        <f>Y8*$C$8</f>
        <v>11336.428723402936</v>
      </c>
      <c r="AB8" s="238"/>
      <c r="AC8" s="238">
        <f>AA8*$C$8</f>
        <v>11619.839441488008</v>
      </c>
      <c r="AD8" s="238"/>
      <c r="AE8" s="238">
        <f>AC8*$C$8</f>
        <v>11910.335427525208</v>
      </c>
      <c r="AF8" s="238"/>
      <c r="AG8" s="238">
        <f>AE8*$C$8</f>
        <v>12208.093813213336</v>
      </c>
    </row>
    <row r="9" spans="1:34" s="225" customFormat="1" ht="13.8">
      <c r="B9" s="225" t="s">
        <v>850</v>
      </c>
      <c r="C9" s="254">
        <f>IF(Application!$D$211="Special Needs",0.1,0.05)</f>
        <v>0.05</v>
      </c>
      <c r="E9" s="237">
        <f>-E8*$C$9</f>
        <v>-432</v>
      </c>
      <c r="F9" s="237"/>
      <c r="G9" s="237">
        <f>-G8*$C$9</f>
        <v>-442.8</v>
      </c>
      <c r="H9" s="237"/>
      <c r="I9" s="237">
        <f>-I8*$C$9</f>
        <v>-453.87</v>
      </c>
      <c r="J9" s="237"/>
      <c r="K9" s="237">
        <f>-K8*$C$9</f>
        <v>-465.21674999999999</v>
      </c>
      <c r="L9" s="237"/>
      <c r="M9" s="237">
        <f>-M8*$C$9</f>
        <v>-476.84716874999998</v>
      </c>
      <c r="N9" s="237"/>
      <c r="O9" s="237">
        <f>-O8*$C$9</f>
        <v>-488.76834796874994</v>
      </c>
      <c r="P9" s="237"/>
      <c r="Q9" s="237">
        <f>-Q8*$C$9</f>
        <v>-500.98755666796865</v>
      </c>
      <c r="R9" s="237"/>
      <c r="S9" s="237">
        <f>-S8*$C$9</f>
        <v>-513.51224558466777</v>
      </c>
      <c r="T9" s="237"/>
      <c r="U9" s="237">
        <f>-U8*$C$9</f>
        <v>-526.35005172428441</v>
      </c>
      <c r="V9" s="237"/>
      <c r="W9" s="237">
        <f>-W8*$C$9</f>
        <v>-539.50880301739141</v>
      </c>
      <c r="X9" s="237"/>
      <c r="Y9" s="237">
        <f>-Y8*$C$9</f>
        <v>-552.99652309282624</v>
      </c>
      <c r="Z9" s="237"/>
      <c r="AA9" s="237">
        <f>-AA8*$C$9</f>
        <v>-566.82143617014685</v>
      </c>
      <c r="AB9" s="237"/>
      <c r="AC9" s="237">
        <f>-AC8*$C$9</f>
        <v>-580.99197207440045</v>
      </c>
      <c r="AD9" s="237"/>
      <c r="AE9" s="237">
        <f>-AE8*$C$9</f>
        <v>-595.51677137626041</v>
      </c>
      <c r="AF9" s="237"/>
      <c r="AG9" s="237">
        <f>-AG8*$C$9</f>
        <v>-610.4046906606668</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1465869</v>
      </c>
      <c r="G11" s="239">
        <f>SUM(G4:G10)</f>
        <v>1502515.7249999999</v>
      </c>
      <c r="I11" s="239">
        <f>SUM(I4:I10)</f>
        <v>1540078.6181249996</v>
      </c>
      <c r="K11" s="239">
        <f>SUM(K4:K10)</f>
        <v>1578580.5835781246</v>
      </c>
      <c r="M11" s="239">
        <f>SUM(M4:M10)</f>
        <v>1618045.0981675778</v>
      </c>
      <c r="O11" s="239">
        <f>SUM(O4:O10)</f>
        <v>1658496.2256217671</v>
      </c>
      <c r="Q11" s="239">
        <f>SUM(Q4:Q10)</f>
        <v>1699958.6312623108</v>
      </c>
      <c r="S11" s="239">
        <f>SUM(S4:S10)</f>
        <v>1742457.5970438684</v>
      </c>
      <c r="U11" s="239">
        <f>SUM(U4:U10)</f>
        <v>1786019.0369699649</v>
      </c>
      <c r="W11" s="239">
        <f>SUM(W4:W10)</f>
        <v>1830669.5128942141</v>
      </c>
      <c r="Y11" s="239">
        <f>SUM(Y4:Y10)</f>
        <v>1876436.2507165696</v>
      </c>
      <c r="AA11" s="239">
        <f>SUM(AA4:AA10)</f>
        <v>1923347.1569844834</v>
      </c>
      <c r="AC11" s="239">
        <f>SUM(AC4:AC10)</f>
        <v>1971430.8359090954</v>
      </c>
      <c r="AE11" s="239">
        <f>SUM(AE4:AE10)</f>
        <v>2020716.6068068224</v>
      </c>
      <c r="AG11" s="239">
        <f>SUM(AG4:AG10)</f>
        <v>2071234.5219769925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27550</v>
      </c>
      <c r="G15" s="235">
        <f>E15*$C$14</f>
        <v>28514.249999999996</v>
      </c>
      <c r="I15" s="235">
        <f>G15*$C$14</f>
        <v>29512.248749999995</v>
      </c>
      <c r="K15" s="235">
        <f>I15*$C$14</f>
        <v>30545.177456249992</v>
      </c>
      <c r="M15" s="235">
        <f>K15*$C$14</f>
        <v>31614.258667218739</v>
      </c>
      <c r="O15" s="235">
        <f>M15*$C$14</f>
        <v>32720.757720571393</v>
      </c>
      <c r="Q15" s="235">
        <f>O15*$C$14</f>
        <v>33865.984240791389</v>
      </c>
      <c r="S15" s="235">
        <f>Q15*$C$14</f>
        <v>35051.293689219085</v>
      </c>
      <c r="U15" s="235">
        <f>S15*$C$14</f>
        <v>36278.088968341748</v>
      </c>
      <c r="W15" s="235">
        <f>U15*$C$14</f>
        <v>37547.82208223371</v>
      </c>
      <c r="Y15" s="235">
        <f>W15*$C$14</f>
        <v>38861.995855111883</v>
      </c>
      <c r="AA15" s="235">
        <f>Y15*$C$14</f>
        <v>40222.165710040797</v>
      </c>
      <c r="AC15" s="235">
        <f>AA15*$C$14</f>
        <v>41629.941509892225</v>
      </c>
      <c r="AE15" s="235">
        <f>AC15*$C$14</f>
        <v>43086.989462738449</v>
      </c>
      <c r="AG15" s="235">
        <f>AE15*$C$14</f>
        <v>44595.034093934293</v>
      </c>
    </row>
    <row r="16" spans="1:34" s="225" customFormat="1" ht="13.8">
      <c r="A16" s="225" t="s">
        <v>345</v>
      </c>
      <c r="C16" s="249"/>
      <c r="E16" s="238">
        <f>Application!W849</f>
        <v>93132</v>
      </c>
      <c r="F16" s="238"/>
      <c r="G16" s="238">
        <f t="shared" ref="G16:AG21" si="0">E16*$C$14</f>
        <v>96391.62</v>
      </c>
      <c r="H16" s="238"/>
      <c r="I16" s="238">
        <f t="shared" si="0"/>
        <v>99765.326699999991</v>
      </c>
      <c r="J16" s="238"/>
      <c r="K16" s="238">
        <f t="shared" si="0"/>
        <v>103257.11313449999</v>
      </c>
      <c r="L16" s="238"/>
      <c r="M16" s="238">
        <f t="shared" si="0"/>
        <v>106871.11209420748</v>
      </c>
      <c r="N16" s="238"/>
      <c r="O16" s="238">
        <f t="shared" si="0"/>
        <v>110611.60101750473</v>
      </c>
      <c r="P16" s="238"/>
      <c r="Q16" s="238">
        <f t="shared" si="0"/>
        <v>114483.00705311738</v>
      </c>
      <c r="R16" s="238"/>
      <c r="S16" s="238">
        <f t="shared" si="0"/>
        <v>118489.91229997648</v>
      </c>
      <c r="T16" s="238"/>
      <c r="U16" s="238">
        <f t="shared" si="0"/>
        <v>122637.05923047564</v>
      </c>
      <c r="V16" s="238"/>
      <c r="W16" s="238">
        <f t="shared" si="0"/>
        <v>126929.35630354228</v>
      </c>
      <c r="X16" s="238"/>
      <c r="Y16" s="238">
        <f t="shared" si="0"/>
        <v>131371.88377416626</v>
      </c>
      <c r="Z16" s="238"/>
      <c r="AA16" s="238">
        <f t="shared" si="0"/>
        <v>135969.89970626208</v>
      </c>
      <c r="AB16" s="238"/>
      <c r="AC16" s="238">
        <f t="shared" si="0"/>
        <v>140728.84619598123</v>
      </c>
      <c r="AD16" s="238"/>
      <c r="AE16" s="238">
        <f t="shared" si="0"/>
        <v>145654.35581284057</v>
      </c>
      <c r="AF16" s="238"/>
      <c r="AG16" s="238">
        <f t="shared" si="0"/>
        <v>150752.25826628998</v>
      </c>
    </row>
    <row r="17" spans="1:33" s="225" customFormat="1" ht="13.8">
      <c r="A17" s="225" t="s">
        <v>570</v>
      </c>
      <c r="C17" s="249"/>
      <c r="E17" s="238">
        <f>Application!W855</f>
        <v>50856</v>
      </c>
      <c r="F17" s="238"/>
      <c r="G17" s="238">
        <f t="shared" si="0"/>
        <v>52635.96</v>
      </c>
      <c r="H17" s="238"/>
      <c r="I17" s="238">
        <f t="shared" si="0"/>
        <v>54478.218599999993</v>
      </c>
      <c r="J17" s="238"/>
      <c r="K17" s="238">
        <f t="shared" si="0"/>
        <v>56384.956250999989</v>
      </c>
      <c r="L17" s="238"/>
      <c r="M17" s="238">
        <f t="shared" si="0"/>
        <v>58358.429719784981</v>
      </c>
      <c r="N17" s="238"/>
      <c r="O17" s="238">
        <f t="shared" si="0"/>
        <v>60400.974759977449</v>
      </c>
      <c r="P17" s="238"/>
      <c r="Q17" s="238">
        <f t="shared" si="0"/>
        <v>62515.008876576656</v>
      </c>
      <c r="R17" s="238"/>
      <c r="S17" s="238">
        <f t="shared" si="0"/>
        <v>64703.034187256832</v>
      </c>
      <c r="T17" s="238"/>
      <c r="U17" s="238">
        <f t="shared" si="0"/>
        <v>66967.640383810809</v>
      </c>
      <c r="V17" s="238"/>
      <c r="W17" s="238">
        <f t="shared" si="0"/>
        <v>69311.50779724418</v>
      </c>
      <c r="X17" s="238"/>
      <c r="Y17" s="238">
        <f t="shared" si="0"/>
        <v>71737.410570147724</v>
      </c>
      <c r="Z17" s="238"/>
      <c r="AA17" s="238">
        <f t="shared" si="0"/>
        <v>74248.219940102892</v>
      </c>
      <c r="AB17" s="238"/>
      <c r="AC17" s="238">
        <f t="shared" si="0"/>
        <v>76846.907638006494</v>
      </c>
      <c r="AD17" s="238"/>
      <c r="AE17" s="238">
        <f t="shared" si="0"/>
        <v>79536.549405336715</v>
      </c>
      <c r="AF17" s="238"/>
      <c r="AG17" s="238">
        <f t="shared" si="0"/>
        <v>82320.328634523496</v>
      </c>
    </row>
    <row r="18" spans="1:33" s="225" customFormat="1" ht="13.8">
      <c r="A18" s="225" t="s">
        <v>854</v>
      </c>
      <c r="C18" s="249"/>
      <c r="E18" s="238">
        <f>Application!W862</f>
        <v>137650</v>
      </c>
      <c r="F18" s="238"/>
      <c r="G18" s="238">
        <f t="shared" si="0"/>
        <v>142467.75</v>
      </c>
      <c r="H18" s="238"/>
      <c r="I18" s="238">
        <f t="shared" si="0"/>
        <v>147454.12125</v>
      </c>
      <c r="J18" s="238"/>
      <c r="K18" s="238">
        <f t="shared" si="0"/>
        <v>152615.01549374999</v>
      </c>
      <c r="L18" s="238"/>
      <c r="M18" s="238">
        <f t="shared" si="0"/>
        <v>157956.54103603124</v>
      </c>
      <c r="N18" s="238"/>
      <c r="O18" s="238">
        <f t="shared" si="0"/>
        <v>163485.01997229233</v>
      </c>
      <c r="P18" s="238"/>
      <c r="Q18" s="238">
        <f t="shared" si="0"/>
        <v>169206.99567132254</v>
      </c>
      <c r="R18" s="238"/>
      <c r="S18" s="238">
        <f t="shared" si="0"/>
        <v>175129.24051981882</v>
      </c>
      <c r="T18" s="238"/>
      <c r="U18" s="238">
        <f t="shared" si="0"/>
        <v>181258.76393801247</v>
      </c>
      <c r="V18" s="238"/>
      <c r="W18" s="238">
        <f t="shared" si="0"/>
        <v>187602.8206758429</v>
      </c>
      <c r="X18" s="238"/>
      <c r="Y18" s="238">
        <f t="shared" si="0"/>
        <v>194168.91939949739</v>
      </c>
      <c r="Z18" s="238"/>
      <c r="AA18" s="238">
        <f t="shared" si="0"/>
        <v>200964.83157847979</v>
      </c>
      <c r="AB18" s="238"/>
      <c r="AC18" s="238">
        <f t="shared" si="0"/>
        <v>207998.60068372657</v>
      </c>
      <c r="AD18" s="238"/>
      <c r="AE18" s="238">
        <f t="shared" si="0"/>
        <v>215278.551707657</v>
      </c>
      <c r="AF18" s="238"/>
      <c r="AG18" s="238">
        <f t="shared" si="0"/>
        <v>222813.30101742496</v>
      </c>
    </row>
    <row r="19" spans="1:33" s="225" customFormat="1" ht="13.8">
      <c r="A19" s="225" t="s">
        <v>155</v>
      </c>
      <c r="C19" s="249"/>
      <c r="E19" s="238">
        <f>Application!W863</f>
        <v>185453</v>
      </c>
      <c r="F19" s="238"/>
      <c r="G19" s="238">
        <f t="shared" si="0"/>
        <v>191943.85499999998</v>
      </c>
      <c r="H19" s="238"/>
      <c r="I19" s="238">
        <f t="shared" si="0"/>
        <v>198661.88992499997</v>
      </c>
      <c r="J19" s="238"/>
      <c r="K19" s="238">
        <f t="shared" si="0"/>
        <v>205615.05607237495</v>
      </c>
      <c r="L19" s="238"/>
      <c r="M19" s="238">
        <f t="shared" si="0"/>
        <v>212811.58303490805</v>
      </c>
      <c r="N19" s="238"/>
      <c r="O19" s="238">
        <f t="shared" si="0"/>
        <v>220259.98844112983</v>
      </c>
      <c r="P19" s="238"/>
      <c r="Q19" s="238">
        <f t="shared" si="0"/>
        <v>227969.08803656936</v>
      </c>
      <c r="R19" s="238"/>
      <c r="S19" s="238">
        <f t="shared" si="0"/>
        <v>235948.00611784926</v>
      </c>
      <c r="T19" s="238"/>
      <c r="U19" s="238">
        <f t="shared" si="0"/>
        <v>244206.18633197396</v>
      </c>
      <c r="V19" s="238"/>
      <c r="W19" s="238">
        <f t="shared" si="0"/>
        <v>252753.40285359303</v>
      </c>
      <c r="X19" s="238"/>
      <c r="Y19" s="238">
        <f t="shared" si="0"/>
        <v>261599.77195346876</v>
      </c>
      <c r="Z19" s="238"/>
      <c r="AA19" s="238">
        <f t="shared" si="0"/>
        <v>270755.76397184015</v>
      </c>
      <c r="AB19" s="238"/>
      <c r="AC19" s="238">
        <f t="shared" si="0"/>
        <v>280232.21571085451</v>
      </c>
      <c r="AD19" s="238"/>
      <c r="AE19" s="238">
        <f t="shared" si="0"/>
        <v>290040.3432607344</v>
      </c>
      <c r="AF19" s="238"/>
      <c r="AG19" s="238">
        <f t="shared" si="0"/>
        <v>300191.75527486007</v>
      </c>
    </row>
    <row r="20" spans="1:33" s="225" customFormat="1" ht="13.8">
      <c r="A20" s="225" t="s">
        <v>391</v>
      </c>
      <c r="C20" s="249"/>
      <c r="E20" s="238">
        <f>Application!W872</f>
        <v>89103</v>
      </c>
      <c r="F20" s="238"/>
      <c r="G20" s="238">
        <f t="shared" si="0"/>
        <v>92221.604999999996</v>
      </c>
      <c r="H20" s="238"/>
      <c r="I20" s="238">
        <f t="shared" si="0"/>
        <v>95449.361174999984</v>
      </c>
      <c r="J20" s="238"/>
      <c r="K20" s="238">
        <f t="shared" si="0"/>
        <v>98790.088816124975</v>
      </c>
      <c r="L20" s="238"/>
      <c r="M20" s="238">
        <f t="shared" si="0"/>
        <v>102247.74192468934</v>
      </c>
      <c r="N20" s="238"/>
      <c r="O20" s="238">
        <f t="shared" si="0"/>
        <v>105826.41289205346</v>
      </c>
      <c r="P20" s="238"/>
      <c r="Q20" s="238">
        <f t="shared" si="0"/>
        <v>109530.33734327531</v>
      </c>
      <c r="R20" s="238"/>
      <c r="S20" s="238">
        <f t="shared" si="0"/>
        <v>113363.89915028994</v>
      </c>
      <c r="T20" s="238"/>
      <c r="U20" s="238">
        <f t="shared" si="0"/>
        <v>117331.63562055008</v>
      </c>
      <c r="V20" s="238"/>
      <c r="W20" s="238">
        <f t="shared" si="0"/>
        <v>121438.24286726932</v>
      </c>
      <c r="X20" s="238"/>
      <c r="Y20" s="238">
        <f t="shared" si="0"/>
        <v>125688.58136762373</v>
      </c>
      <c r="Z20" s="238"/>
      <c r="AA20" s="238">
        <f t="shared" si="0"/>
        <v>130087.68171549054</v>
      </c>
      <c r="AB20" s="238"/>
      <c r="AC20" s="238">
        <f t="shared" si="0"/>
        <v>134640.7505755327</v>
      </c>
      <c r="AD20" s="238"/>
      <c r="AE20" s="238">
        <f t="shared" si="0"/>
        <v>139353.17684567632</v>
      </c>
      <c r="AF20" s="238"/>
      <c r="AG20" s="238">
        <f t="shared" si="0"/>
        <v>144230.53803527498</v>
      </c>
    </row>
    <row r="21" spans="1:33" s="225" customFormat="1" ht="13.8">
      <c r="A21" s="242" t="s">
        <v>982</v>
      </c>
      <c r="B21" s="242"/>
      <c r="C21" s="249"/>
      <c r="E21" s="248">
        <f>Application!W879</f>
        <v>131256</v>
      </c>
      <c r="F21" s="238"/>
      <c r="G21" s="248">
        <f t="shared" si="0"/>
        <v>135849.96</v>
      </c>
      <c r="H21" s="238"/>
      <c r="I21" s="248">
        <f t="shared" si="0"/>
        <v>140604.70859999998</v>
      </c>
      <c r="J21" s="238"/>
      <c r="K21" s="248">
        <f t="shared" si="0"/>
        <v>145525.87340099996</v>
      </c>
      <c r="L21" s="238"/>
      <c r="M21" s="248">
        <f t="shared" si="0"/>
        <v>150619.27897003494</v>
      </c>
      <c r="N21" s="238"/>
      <c r="O21" s="248">
        <f t="shared" si="0"/>
        <v>155890.95373398616</v>
      </c>
      <c r="P21" s="238"/>
      <c r="Q21" s="248">
        <f t="shared" si="0"/>
        <v>161347.13711467566</v>
      </c>
      <c r="R21" s="238"/>
      <c r="S21" s="248">
        <f t="shared" si="0"/>
        <v>166994.28691368928</v>
      </c>
      <c r="T21" s="238"/>
      <c r="U21" s="248">
        <f t="shared" si="0"/>
        <v>172839.0869556684</v>
      </c>
      <c r="V21" s="238"/>
      <c r="W21" s="248">
        <f t="shared" si="0"/>
        <v>178888.45499911677</v>
      </c>
      <c r="X21" s="238"/>
      <c r="Y21" s="248">
        <f t="shared" si="0"/>
        <v>185149.55092408584</v>
      </c>
      <c r="Z21" s="238"/>
      <c r="AA21" s="248">
        <f t="shared" si="0"/>
        <v>191629.78520642882</v>
      </c>
      <c r="AB21" s="238"/>
      <c r="AC21" s="248">
        <f t="shared" si="0"/>
        <v>198336.82768865381</v>
      </c>
      <c r="AD21" s="238"/>
      <c r="AE21" s="248">
        <f t="shared" si="0"/>
        <v>205278.61665775668</v>
      </c>
      <c r="AF21" s="238"/>
      <c r="AG21" s="248">
        <f t="shared" si="0"/>
        <v>212463.36824077813</v>
      </c>
    </row>
    <row r="22" spans="1:33" s="239" customFormat="1" ht="13.8">
      <c r="A22" s="239" t="s">
        <v>855</v>
      </c>
      <c r="C22" s="249"/>
      <c r="E22" s="239">
        <f>SUM(E15:E21)</f>
        <v>715000</v>
      </c>
      <c r="G22" s="239">
        <f>SUM(G15:G21)</f>
        <v>740024.99999999988</v>
      </c>
      <c r="I22" s="239">
        <f>SUM(I15:I21)</f>
        <v>765925.875</v>
      </c>
      <c r="K22" s="239">
        <f>SUM(K15:K21)</f>
        <v>792733.28062499978</v>
      </c>
      <c r="M22" s="239">
        <f>SUM(M15:M21)</f>
        <v>820478.94544687483</v>
      </c>
      <c r="O22" s="239">
        <f>SUM(O15:O21)</f>
        <v>849195.70853751537</v>
      </c>
      <c r="Q22" s="239">
        <f>SUM(Q15:Q21)</f>
        <v>878917.55833632825</v>
      </c>
      <c r="S22" s="239">
        <f>SUM(S15:S21)</f>
        <v>909679.67287809961</v>
      </c>
      <c r="U22" s="239">
        <f>SUM(U15:U21)</f>
        <v>941518.46142883319</v>
      </c>
      <c r="W22" s="239">
        <f>SUM(W15:W21)</f>
        <v>974471.6075788422</v>
      </c>
      <c r="Y22" s="239">
        <f>SUM(Y15:Y21)</f>
        <v>1008578.1138441016</v>
      </c>
      <c r="AA22" s="239">
        <f>SUM(AA15:AA21)</f>
        <v>1043878.3478286451</v>
      </c>
      <c r="AC22" s="239">
        <f>SUM(AC15:AC21)</f>
        <v>1080414.0900026474</v>
      </c>
      <c r="AE22" s="239">
        <f>SUM(AE15:AE21)</f>
        <v>1118228.5831527403</v>
      </c>
      <c r="AG22" s="239">
        <f>SUM(AG15:AG21)</f>
        <v>1157366.5835630859</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121329</v>
      </c>
      <c r="F27" s="238"/>
      <c r="G27" s="238">
        <f>E27*$C$27</f>
        <v>125575.51499999998</v>
      </c>
      <c r="H27" s="238"/>
      <c r="I27" s="238">
        <f>G27*$C$27</f>
        <v>129970.65802499997</v>
      </c>
      <c r="J27" s="238"/>
      <c r="K27" s="238">
        <f>I27*$C$27</f>
        <v>134519.63105587495</v>
      </c>
      <c r="L27" s="238"/>
      <c r="M27" s="238">
        <f>K27*$C$27</f>
        <v>139227.81814283057</v>
      </c>
      <c r="N27" s="238"/>
      <c r="O27" s="238">
        <f>M27*$C$27</f>
        <v>144100.79177782964</v>
      </c>
      <c r="P27" s="238"/>
      <c r="Q27" s="238">
        <f>O27*$C$27</f>
        <v>149144.31949005366</v>
      </c>
      <c r="R27" s="238"/>
      <c r="S27" s="238">
        <f>Q27*$C$27</f>
        <v>154364.37067220552</v>
      </c>
      <c r="T27" s="238"/>
      <c r="U27" s="238">
        <f>S27*$C$27</f>
        <v>159767.1236457327</v>
      </c>
      <c r="V27" s="238"/>
      <c r="W27" s="238">
        <f>U27*$C$27</f>
        <v>165358.97297333332</v>
      </c>
      <c r="X27" s="238"/>
      <c r="Y27" s="238">
        <f>W27*$C$27</f>
        <v>171146.53702739999</v>
      </c>
      <c r="Z27" s="238"/>
      <c r="AA27" s="238">
        <f>Y27*$C$27</f>
        <v>177136.66582335898</v>
      </c>
      <c r="AB27" s="238"/>
      <c r="AC27" s="238">
        <f>AA27*$C$27</f>
        <v>183336.44912717654</v>
      </c>
      <c r="AD27" s="238"/>
      <c r="AE27" s="238">
        <f>AC27*$C$27</f>
        <v>189753.22484662771</v>
      </c>
      <c r="AF27" s="238"/>
      <c r="AG27" s="238">
        <f>AE27*$C$27</f>
        <v>196394.58771625967</v>
      </c>
    </row>
    <row r="28" spans="1:33" s="225" customFormat="1" ht="13.8">
      <c r="A28" s="225" t="s">
        <v>858</v>
      </c>
      <c r="C28" s="253"/>
      <c r="E28" s="238">
        <f>Application!AC889</f>
        <v>40000</v>
      </c>
      <c r="F28" s="238"/>
      <c r="G28" s="238">
        <f>$E$28</f>
        <v>40000</v>
      </c>
      <c r="H28" s="238"/>
      <c r="I28" s="238">
        <f>$E$28</f>
        <v>40000</v>
      </c>
      <c r="J28" s="238"/>
      <c r="K28" s="238">
        <f>$E$28</f>
        <v>40000</v>
      </c>
      <c r="L28" s="238"/>
      <c r="M28" s="238">
        <f>$E$28</f>
        <v>40000</v>
      </c>
      <c r="N28" s="238"/>
      <c r="O28" s="238">
        <f>$E$28</f>
        <v>40000</v>
      </c>
      <c r="P28" s="238"/>
      <c r="Q28" s="238">
        <f>$E$28</f>
        <v>40000</v>
      </c>
      <c r="R28" s="238"/>
      <c r="S28" s="238">
        <f>$E$28</f>
        <v>40000</v>
      </c>
      <c r="T28" s="238"/>
      <c r="U28" s="238">
        <f>$E$28</f>
        <v>40000</v>
      </c>
      <c r="V28" s="238"/>
      <c r="W28" s="238">
        <f>$E$28</f>
        <v>40000</v>
      </c>
      <c r="X28" s="238"/>
      <c r="Y28" s="238">
        <f>$E$28</f>
        <v>40000</v>
      </c>
      <c r="Z28" s="238"/>
      <c r="AA28" s="238">
        <f>$E$28</f>
        <v>40000</v>
      </c>
      <c r="AB28" s="238"/>
      <c r="AC28" s="238">
        <f>$E$28</f>
        <v>40000</v>
      </c>
      <c r="AD28" s="238"/>
      <c r="AE28" s="238">
        <f>$E$28</f>
        <v>40000</v>
      </c>
      <c r="AF28" s="238"/>
      <c r="AG28" s="238">
        <f>$E$28</f>
        <v>40000</v>
      </c>
    </row>
    <row r="29" spans="1:33" s="225" customFormat="1" ht="13.8">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880329</v>
      </c>
      <c r="G35" s="239">
        <f>SUM(G22:G33)</f>
        <v>909600.5149999999</v>
      </c>
      <c r="I35" s="239">
        <f>SUM(I22:I33)</f>
        <v>939896.53302500001</v>
      </c>
      <c r="K35" s="239">
        <f>SUM(K22:K33)</f>
        <v>971252.91168087476</v>
      </c>
      <c r="M35" s="239">
        <f>SUM(M22:M33)</f>
        <v>1003706.7635897053</v>
      </c>
      <c r="O35" s="239">
        <f>SUM(O22:O33)</f>
        <v>1037296.500315345</v>
      </c>
      <c r="Q35" s="239">
        <f>SUM(Q22:Q33)</f>
        <v>1072061.8778263819</v>
      </c>
      <c r="S35" s="239">
        <f>SUM(S22:S33)</f>
        <v>1108044.0435503051</v>
      </c>
      <c r="U35" s="239">
        <f>SUM(U22:U33)</f>
        <v>1145285.5850745658</v>
      </c>
      <c r="W35" s="239">
        <f>SUM(W22:W33)</f>
        <v>1183830.5805521756</v>
      </c>
      <c r="Y35" s="239">
        <f>SUM(Y22:Y33)</f>
        <v>1223724.6508715015</v>
      </c>
      <c r="AA35" s="239">
        <f>SUM(AA22:AA33)</f>
        <v>1265015.0136520041</v>
      </c>
      <c r="AC35" s="239">
        <f>SUM(AC22:AC33)</f>
        <v>1307750.5391298239</v>
      </c>
      <c r="AE35" s="239">
        <f>SUM(AE22:AE33)</f>
        <v>1351981.8079993681</v>
      </c>
      <c r="AG35" s="239">
        <f>SUM(AG22:AG33)</f>
        <v>1397761.1712793456</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585540</v>
      </c>
      <c r="G37" s="239">
        <f>G11-G35</f>
        <v>592915.21</v>
      </c>
      <c r="I37" s="239">
        <f>I11-I35</f>
        <v>600182.08509999956</v>
      </c>
      <c r="K37" s="239">
        <f>K11-K35</f>
        <v>607327.67189724988</v>
      </c>
      <c r="M37" s="239">
        <f>M11-M35</f>
        <v>614338.33457787242</v>
      </c>
      <c r="O37" s="239">
        <f>O11-O35</f>
        <v>621199.7253064221</v>
      </c>
      <c r="Q37" s="239">
        <f>Q11-Q35</f>
        <v>627896.75343592884</v>
      </c>
      <c r="S37" s="239">
        <f>S11-S35</f>
        <v>634413.55349356332</v>
      </c>
      <c r="U37" s="239">
        <f>U11-U35</f>
        <v>640733.45189539902</v>
      </c>
      <c r="W37" s="239">
        <f>W11-W35</f>
        <v>646838.93234203849</v>
      </c>
      <c r="Y37" s="239">
        <f>Y11-Y35</f>
        <v>652711.59984506806</v>
      </c>
      <c r="AA37" s="239">
        <f>AA11-AA35</f>
        <v>658332.14333247929</v>
      </c>
      <c r="AC37" s="239">
        <f>AC11-AC35</f>
        <v>663680.29677927145</v>
      </c>
      <c r="AE37" s="239">
        <f>AE11-AE35</f>
        <v>668734.7988074543</v>
      </c>
      <c r="AG37" s="239">
        <f>AG11-AG35</f>
        <v>673473.35069764685</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 Bank - Perm Mortgage</v>
      </c>
      <c r="B40" s="242"/>
      <c r="C40" s="236"/>
      <c r="E40" s="238">
        <f>Application!AF627</f>
        <v>429519.29088768072</v>
      </c>
      <c r="F40" s="238"/>
      <c r="G40" s="238">
        <f>$E$40</f>
        <v>429519.29088768072</v>
      </c>
      <c r="H40" s="238"/>
      <c r="I40" s="238">
        <f>$E$40</f>
        <v>429519.29088768072</v>
      </c>
      <c r="J40" s="238"/>
      <c r="K40" s="238">
        <f>$E$40</f>
        <v>429519.29088768072</v>
      </c>
      <c r="L40" s="238"/>
      <c r="M40" s="238">
        <f>$E$40</f>
        <v>429519.29088768072</v>
      </c>
      <c r="N40" s="238"/>
      <c r="O40" s="238">
        <f>$E$40</f>
        <v>429519.29088768072</v>
      </c>
      <c r="P40" s="238"/>
      <c r="Q40" s="238">
        <f>$E$40</f>
        <v>429519.29088768072</v>
      </c>
      <c r="R40" s="238"/>
      <c r="S40" s="238">
        <f>$E$40</f>
        <v>429519.29088768072</v>
      </c>
      <c r="T40" s="238"/>
      <c r="U40" s="238">
        <f>$E$40</f>
        <v>429519.29088768072</v>
      </c>
      <c r="V40" s="238"/>
      <c r="W40" s="238">
        <f>$E$40</f>
        <v>429519.29088768072</v>
      </c>
      <c r="X40" s="238"/>
      <c r="Y40" s="238">
        <f>$E$40</f>
        <v>429519.29088768072</v>
      </c>
      <c r="Z40" s="238"/>
      <c r="AA40" s="238">
        <f>$E$40</f>
        <v>429519.29088768072</v>
      </c>
      <c r="AB40" s="238"/>
      <c r="AC40" s="238">
        <f>$E$40</f>
        <v>429519.29088768072</v>
      </c>
      <c r="AD40" s="238"/>
      <c r="AE40" s="238">
        <f>$E$40</f>
        <v>429519.29088768072</v>
      </c>
      <c r="AF40" s="238"/>
      <c r="AG40" s="238">
        <f>$E$40</f>
        <v>429519.29088768072</v>
      </c>
    </row>
    <row r="41" spans="1:33" s="225" customFormat="1" ht="13.8">
      <c r="A41" s="241" t="s">
        <v>2560</v>
      </c>
      <c r="B41" s="242"/>
      <c r="C41" s="236"/>
      <c r="E41" s="238">
        <f>Application!AF629</f>
        <v>78619.566548381947</v>
      </c>
      <c r="F41" s="238"/>
      <c r="G41" s="238">
        <f>$E$41</f>
        <v>78619.566548381947</v>
      </c>
      <c r="H41" s="238"/>
      <c r="I41" s="238">
        <f>$E$41</f>
        <v>78619.566548381947</v>
      </c>
      <c r="J41" s="238"/>
      <c r="K41" s="238">
        <f>$E$41</f>
        <v>78619.566548381947</v>
      </c>
      <c r="L41" s="238"/>
      <c r="M41" s="238">
        <f>$E$41</f>
        <v>78619.566548381947</v>
      </c>
      <c r="N41" s="238"/>
      <c r="O41" s="238">
        <f>$E$41</f>
        <v>78619.566548381947</v>
      </c>
      <c r="P41" s="238"/>
      <c r="Q41" s="238">
        <f>$E$41</f>
        <v>78619.566548381947</v>
      </c>
      <c r="R41" s="238"/>
      <c r="S41" s="238">
        <f>$E$41</f>
        <v>78619.566548381947</v>
      </c>
      <c r="T41" s="238"/>
      <c r="U41" s="238">
        <f>$E$41</f>
        <v>78619.566548381947</v>
      </c>
      <c r="V41" s="238"/>
      <c r="W41" s="238">
        <f>$E$41</f>
        <v>78619.566548381947</v>
      </c>
      <c r="X41" s="238"/>
      <c r="Y41" s="238">
        <f>$E$41</f>
        <v>78619.566548381947</v>
      </c>
      <c r="Z41" s="238"/>
      <c r="AA41" s="238">
        <f>$E$41</f>
        <v>78619.566548381947</v>
      </c>
      <c r="AB41" s="238"/>
      <c r="AC41" s="238">
        <f>$E$41</f>
        <v>78619.566548381947</v>
      </c>
      <c r="AD41" s="238"/>
      <c r="AE41" s="238">
        <f>$E$41</f>
        <v>78619.566548381947</v>
      </c>
      <c r="AF41" s="238"/>
      <c r="AG41" s="238">
        <f>$E$41</f>
        <v>78619.566548381947</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508138.85743606265</v>
      </c>
      <c r="G43" s="239">
        <f>SUM(G40:G42)</f>
        <v>508138.85743606265</v>
      </c>
      <c r="I43" s="239">
        <f>SUM(I40:I42)</f>
        <v>508138.85743606265</v>
      </c>
      <c r="K43" s="239">
        <f>SUM(K40:K42)</f>
        <v>508138.85743606265</v>
      </c>
      <c r="M43" s="239">
        <f>SUM(M40:M42)</f>
        <v>508138.85743606265</v>
      </c>
      <c r="O43" s="239">
        <f>SUM(O40:O42)</f>
        <v>508138.85743606265</v>
      </c>
      <c r="Q43" s="239">
        <f>SUM(Q40:Q42)</f>
        <v>508138.85743606265</v>
      </c>
      <c r="S43" s="239">
        <f>SUM(S40:S42)</f>
        <v>508138.85743606265</v>
      </c>
      <c r="U43" s="239">
        <f>SUM(U40:U42)</f>
        <v>508138.85743606265</v>
      </c>
      <c r="W43" s="239">
        <f>SUM(W40:W42)</f>
        <v>508138.85743606265</v>
      </c>
      <c r="Y43" s="239">
        <f>SUM(Y40:Y42)</f>
        <v>508138.85743606265</v>
      </c>
      <c r="AA43" s="239">
        <f>SUM(AA40:AA42)</f>
        <v>508138.85743606265</v>
      </c>
      <c r="AC43" s="239">
        <f>SUM(AC40:AC42)</f>
        <v>508138.85743606265</v>
      </c>
      <c r="AE43" s="239">
        <f>SUM(AE40:AE42)</f>
        <v>508138.85743606265</v>
      </c>
      <c r="AG43" s="239">
        <f>SUM(AG40:AG42)</f>
        <v>508138.85743606265</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77401.142563937348</v>
      </c>
      <c r="G45" s="239">
        <f>G37-G43</f>
        <v>84776.352563937311</v>
      </c>
      <c r="I45" s="239">
        <f>I37-I43</f>
        <v>92043.227663936908</v>
      </c>
      <c r="K45" s="239">
        <f>K37-K43</f>
        <v>99188.814461187227</v>
      </c>
      <c r="M45" s="239">
        <f>M37-M43</f>
        <v>106199.47714180977</v>
      </c>
      <c r="O45" s="239">
        <f>O37-O43</f>
        <v>113060.86787035945</v>
      </c>
      <c r="Q45" s="239">
        <f>Q37-Q43</f>
        <v>119757.89599986619</v>
      </c>
      <c r="S45" s="239">
        <f>S37-S43</f>
        <v>126274.69605750067</v>
      </c>
      <c r="U45" s="239">
        <f>U37-U43</f>
        <v>132594.59445933637</v>
      </c>
      <c r="W45" s="239">
        <f>W37-W43</f>
        <v>138700.07490597584</v>
      </c>
      <c r="Y45" s="239">
        <f>Y37-Y43</f>
        <v>144572.74240900541</v>
      </c>
      <c r="AA45" s="239">
        <f>AA37-AA43</f>
        <v>150193.28589641664</v>
      </c>
      <c r="AC45" s="239">
        <f>AC37-AC43</f>
        <v>155541.4393432088</v>
      </c>
      <c r="AE45" s="239">
        <f>AE37-AE43</f>
        <v>160595.94137139164</v>
      </c>
      <c r="AG45" s="239">
        <f>AG37-AG43</f>
        <v>165334.4932615842</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5.0162112327732204E-2</v>
      </c>
      <c r="G47" s="243">
        <f>G45/(G4+G6+G8)</f>
        <v>5.3601791712190205E-2</v>
      </c>
      <c r="I47" s="243">
        <f>I45/(I4+I6+I8)</f>
        <v>5.6777014661236566E-2</v>
      </c>
      <c r="K47" s="243">
        <f>K45/(K4+K6+K8)</f>
        <v>5.9692469753137828E-2</v>
      </c>
      <c r="M47" s="243">
        <f>M45/(M4+M6+M8)</f>
        <v>6.2352714024458147E-2</v>
      </c>
      <c r="O47" s="243">
        <f>O45/(O4+O6+O8)</f>
        <v>6.4762176010725911E-2</v>
      </c>
      <c r="Q47" s="243">
        <f>Q45/(Q4+Q6+Q8)</f>
        <v>6.6925158711299074E-2</v>
      </c>
      <c r="S47" s="243">
        <f>S45/(S4+S6+S8)</f>
        <v>6.8845842480266373E-2</v>
      </c>
      <c r="U47" s="243">
        <f>U45/(U4+U6+U8)</f>
        <v>7.0528287845169166E-2</v>
      </c>
      <c r="W47" s="243">
        <f>W45/(W4+W6+W8)</f>
        <v>7.1976438255292638E-2</v>
      </c>
      <c r="Y47" s="243">
        <f>Y45/(Y4+Y6+Y8)</f>
        <v>7.3194122761221683E-2</v>
      </c>
      <c r="AA47" s="243">
        <f>AA45/(AA4+AA6+AA8)</f>
        <v>7.4185058627326578E-2</v>
      </c>
      <c r="AC47" s="243">
        <f>AC45/(AC4+AC6+AC8)</f>
        <v>7.4952853878796646E-2</v>
      </c>
      <c r="AE47" s="243">
        <f>AE45/(AE4+AE6+AE8)</f>
        <v>7.5501009784796194E-2</v>
      </c>
      <c r="AG47" s="243">
        <f>AG45/(AG4+AG6+AG8)</f>
        <v>7.5832923279293279E-2</v>
      </c>
    </row>
    <row r="48" spans="1:33" s="243" customFormat="1" ht="13.8">
      <c r="A48" s="243" t="s">
        <v>864</v>
      </c>
      <c r="C48" s="236"/>
      <c r="E48" s="243">
        <f>E45/E43</f>
        <v>0.15232281773230946</v>
      </c>
      <c r="G48" s="243">
        <f>G45/G43</f>
        <v>0.1668369803319055</v>
      </c>
      <c r="I48" s="243">
        <f>I45/I43</f>
        <v>0.18113794353056023</v>
      </c>
      <c r="K48" s="243">
        <f>K45/K43</f>
        <v>0.19520021547194472</v>
      </c>
      <c r="M48" s="243">
        <f>M45/M43</f>
        <v>0.20899696133782186</v>
      </c>
      <c r="O48" s="243">
        <f>O45/O43</f>
        <v>0.22249994507571291</v>
      </c>
      <c r="Q48" s="243">
        <f>Q45/Q43</f>
        <v>0.23567946880530566</v>
      </c>
      <c r="S48" s="243">
        <f>S45/S43</f>
        <v>0.24850430981533306</v>
      </c>
      <c r="U48" s="243">
        <f>U45/U43</f>
        <v>0.26094165505935607</v>
      </c>
      <c r="W48" s="243">
        <f>W45/W43</f>
        <v>0.27295703305553243</v>
      </c>
      <c r="Y48" s="243">
        <f>Y45/Y43</f>
        <v>0.28451424309190232</v>
      </c>
      <c r="AA48" s="243">
        <f>AA45/AA43</f>
        <v>0.29557528163512853</v>
      </c>
      <c r="AC48" s="243">
        <f>AC45/AC43</f>
        <v>0.30610026583684369</v>
      </c>
      <c r="AE48" s="243">
        <f>AE45/AE43</f>
        <v>0.31604735402782863</v>
      </c>
      <c r="AG48" s="243">
        <f>AG45/AG43</f>
        <v>0.32537266308626606</v>
      </c>
    </row>
    <row r="49" spans="1:35" s="244" customFormat="1" ht="13.8">
      <c r="A49" s="244" t="s">
        <v>862</v>
      </c>
      <c r="C49" s="245"/>
      <c r="E49" s="244">
        <f>E37/E43</f>
        <v>1.1523228177323095</v>
      </c>
      <c r="G49" s="244">
        <f>G37/G43</f>
        <v>1.1668369803319054</v>
      </c>
      <c r="I49" s="244">
        <f>I37/I43</f>
        <v>1.1811379435305602</v>
      </c>
      <c r="K49" s="244">
        <f>K37/K43</f>
        <v>1.1952002154719448</v>
      </c>
      <c r="M49" s="244">
        <f>M37/M43</f>
        <v>1.208996961337822</v>
      </c>
      <c r="O49" s="244">
        <f>O37/O43</f>
        <v>1.2224999450757128</v>
      </c>
      <c r="Q49" s="244">
        <f>Q37/Q43</f>
        <v>1.2356794688053057</v>
      </c>
      <c r="S49" s="244">
        <f>S37/S43</f>
        <v>1.248504309815333</v>
      </c>
      <c r="U49" s="244">
        <f>U37/U43</f>
        <v>1.260941655059356</v>
      </c>
      <c r="W49" s="244">
        <f>W37/W43</f>
        <v>1.2729570330555324</v>
      </c>
      <c r="Y49" s="244">
        <f>Y37/Y43</f>
        <v>1.2845142430919023</v>
      </c>
      <c r="AA49" s="244">
        <f>AA37/AA43</f>
        <v>1.2955752816351285</v>
      </c>
      <c r="AC49" s="244">
        <f>AC37/AC43</f>
        <v>1.3061002658368437</v>
      </c>
      <c r="AE49" s="244">
        <f>AE37/AE43</f>
        <v>1.3160473540278286</v>
      </c>
      <c r="AG49" s="244">
        <f>AG37/AG43</f>
        <v>1.3253726630862661</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77401.142563937348</v>
      </c>
      <c r="G60" s="997">
        <f>G45-G58</f>
        <v>84776.352563937311</v>
      </c>
      <c r="I60" s="997">
        <f>I45-I58</f>
        <v>92043.227663936908</v>
      </c>
      <c r="K60" s="997">
        <f>K45-K58</f>
        <v>99188.814461187227</v>
      </c>
      <c r="M60" s="997">
        <f>M45-M58</f>
        <v>106199.47714180977</v>
      </c>
      <c r="O60" s="997">
        <f>O45-O58</f>
        <v>113060.86787035945</v>
      </c>
      <c r="Q60" s="997">
        <f>Q45-Q58</f>
        <v>119757.89599986619</v>
      </c>
      <c r="S60" s="997">
        <f>S45-S58</f>
        <v>126274.69605750067</v>
      </c>
      <c r="U60" s="997">
        <f>U45-U58</f>
        <v>132594.59445933637</v>
      </c>
      <c r="W60" s="997">
        <f>W45-W58</f>
        <v>138700.07490597584</v>
      </c>
      <c r="Y60" s="997">
        <f>Y45-Y58</f>
        <v>144572.74240900541</v>
      </c>
      <c r="AA60" s="997">
        <f>AA45-AA58</f>
        <v>150193.28589641664</v>
      </c>
      <c r="AC60" s="997">
        <f>AC45-AC58</f>
        <v>155541.4393432088</v>
      </c>
      <c r="AE60" s="997">
        <f>AE45-AE58</f>
        <v>160595.94137139164</v>
      </c>
      <c r="AG60" s="997">
        <f>AG45-AG58</f>
        <v>165334.4932615842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38700.571281968674</v>
      </c>
      <c r="G62" s="997">
        <f>G60*$C$62</f>
        <v>42388.176281968656</v>
      </c>
      <c r="I62" s="997">
        <f>I60*$C$62</f>
        <v>46021.613831968454</v>
      </c>
      <c r="K62" s="997">
        <f>K60*$C$62</f>
        <v>49594.407230593613</v>
      </c>
      <c r="M62" s="997">
        <f>M60*$C$62</f>
        <v>53099.738570904883</v>
      </c>
      <c r="O62" s="997">
        <f>O60*$C$62</f>
        <v>56530.433935179724</v>
      </c>
      <c r="Q62" s="997">
        <f>Q60*$C$62</f>
        <v>59878.947999933094</v>
      </c>
      <c r="S62" s="997">
        <f>S60*$C$62</f>
        <v>63137.348028750333</v>
      </c>
      <c r="U62" s="997">
        <f>U60*$C$62</f>
        <v>66297.297229668184</v>
      </c>
      <c r="W62" s="997">
        <f>W60*$C$62</f>
        <v>69350.037452987919</v>
      </c>
      <c r="Y62" s="997">
        <f>Y60*$C$62</f>
        <v>72286.371204502706</v>
      </c>
      <c r="AA62" s="997">
        <f>AA60*$C$62</f>
        <v>75096.642948208319</v>
      </c>
      <c r="AC62" s="997">
        <f>AC60*$C$62</f>
        <v>77770.719671604398</v>
      </c>
      <c r="AE62" s="997">
        <f>AE60*$C$62</f>
        <v>80297.970685695822</v>
      </c>
      <c r="AG62" s="997">
        <f>AG60*$C$62</f>
        <v>82667.246630792099</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19350.285640984337</v>
      </c>
      <c r="G66" s="995">
        <f>G60*$C$65</f>
        <v>21194.088140984328</v>
      </c>
      <c r="I66" s="995">
        <f>I60*$C$65</f>
        <v>23010.806915984227</v>
      </c>
      <c r="K66" s="995">
        <f>K60*$C$65</f>
        <v>24797.203615296807</v>
      </c>
      <c r="M66" s="995">
        <f>M60*$C$65</f>
        <v>26549.869285452442</v>
      </c>
      <c r="O66" s="995">
        <f>O60*$C$65</f>
        <v>28265.216967589862</v>
      </c>
      <c r="Q66" s="995">
        <f>Q60*$C$65</f>
        <v>29939.473999966547</v>
      </c>
      <c r="S66" s="995">
        <f>S60*$C$65</f>
        <v>31568.674014375167</v>
      </c>
      <c r="U66" s="995">
        <f>U60*$C$65</f>
        <v>33148.648614834092</v>
      </c>
      <c r="W66" s="995">
        <f>W60*$C$65</f>
        <v>34675.01872649396</v>
      </c>
      <c r="Y66" s="995">
        <f>Y60*$C$65</f>
        <v>36143.185602251353</v>
      </c>
      <c r="AA66" s="995">
        <f>AA60*$C$65</f>
        <v>37548.321474104159</v>
      </c>
      <c r="AC66" s="995">
        <f>AC60*$C$65</f>
        <v>38885.359835802199</v>
      </c>
      <c r="AE66" s="995">
        <f>AE60*$C$65</f>
        <v>40148.985342847911</v>
      </c>
      <c r="AG66" s="995">
        <f>AG60*$C$65</f>
        <v>41333.623315396049</v>
      </c>
    </row>
    <row r="67" spans="1:35" s="995" customFormat="1">
      <c r="A67" s="1000"/>
      <c r="B67" s="1000"/>
      <c r="C67" s="1005"/>
      <c r="E67" s="999">
        <f>$E60*$C$65</f>
        <v>19350.285640984337</v>
      </c>
      <c r="G67" s="995">
        <f>G60*$C$65</f>
        <v>21194.088140984328</v>
      </c>
      <c r="I67" s="995">
        <f>I60*$C$65</f>
        <v>23010.806915984227</v>
      </c>
      <c r="K67" s="995">
        <f>K60*$C$65</f>
        <v>24797.203615296807</v>
      </c>
      <c r="M67" s="995">
        <f>M60*$C$65</f>
        <v>26549.869285452442</v>
      </c>
      <c r="O67" s="995">
        <f>O60*$C$65</f>
        <v>28265.216967589862</v>
      </c>
      <c r="Q67" s="995">
        <f>Q60*$C$65</f>
        <v>29939.473999966547</v>
      </c>
      <c r="S67" s="995">
        <f>S60*$C$65</f>
        <v>31568.674014375167</v>
      </c>
      <c r="U67" s="995">
        <f>U60*$C$65</f>
        <v>33148.648614834092</v>
      </c>
      <c r="W67" s="995">
        <f>W60*$C$65</f>
        <v>34675.01872649396</v>
      </c>
      <c r="Y67" s="995">
        <f>Y60*$C$65</f>
        <v>36143.185602251353</v>
      </c>
      <c r="AA67" s="995">
        <f>AA60*$C$65</f>
        <v>37548.321474104159</v>
      </c>
      <c r="AC67" s="995">
        <f>AC60*$C$65</f>
        <v>38885.359835802199</v>
      </c>
      <c r="AE67" s="995">
        <f>AE60*$C$65</f>
        <v>40148.985342847911</v>
      </c>
      <c r="AG67" s="995">
        <f>AG60*$C$65</f>
        <v>41333.623315396049</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38700.571281968674</v>
      </c>
      <c r="G70" s="995">
        <f>SUM(G66:G69)</f>
        <v>42388.176281968656</v>
      </c>
      <c r="I70" s="995">
        <f>SUM(I66:I69)</f>
        <v>46021.613831968454</v>
      </c>
      <c r="K70" s="995">
        <f>SUM(K66:K69)</f>
        <v>49594.407230593613</v>
      </c>
      <c r="M70" s="995">
        <f>SUM(M66:M69)</f>
        <v>53099.738570904883</v>
      </c>
      <c r="O70" s="995">
        <f>SUM(O66:O69)</f>
        <v>56530.433935179724</v>
      </c>
      <c r="Q70" s="995">
        <f>SUM(Q66:Q69)</f>
        <v>59878.947999933094</v>
      </c>
      <c r="S70" s="995">
        <f>SUM(S66:S69)</f>
        <v>63137.348028750333</v>
      </c>
      <c r="U70" s="995">
        <f>SUM(U66:U69)</f>
        <v>66297.297229668184</v>
      </c>
      <c r="W70" s="995">
        <f>SUM(W66:W69)</f>
        <v>69350.037452987919</v>
      </c>
      <c r="Y70" s="995">
        <f>SUM(Y66:Y69)</f>
        <v>72286.371204502706</v>
      </c>
      <c r="AA70" s="995">
        <f>SUM(AA66:AA69)</f>
        <v>75096.642948208319</v>
      </c>
      <c r="AC70" s="995">
        <f>SUM(AC66:AC69)</f>
        <v>77770.719671604398</v>
      </c>
      <c r="AE70" s="995">
        <f>SUM(AE66:AE69)</f>
        <v>80297.970685695822</v>
      </c>
      <c r="AG70" s="995">
        <f>SUM(AG66:AG69)</f>
        <v>82667.246630792099</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5" t="s">
        <v>1910</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5715000</v>
      </c>
      <c r="C5" s="286">
        <f>'Sources and Uses Budget'!$C4</f>
        <v>5715000</v>
      </c>
      <c r="D5" s="290">
        <f>C5-B5</f>
        <v>0</v>
      </c>
      <c r="E5" s="288"/>
      <c r="F5" s="287"/>
      <c r="G5" s="383"/>
    </row>
    <row r="6" spans="1:7" s="380" customFormat="1">
      <c r="A6" s="395" t="s">
        <v>28</v>
      </c>
      <c r="B6" s="286">
        <f>'Sources and Uses Budget'!$C5</f>
        <v>204423.93851008028</v>
      </c>
      <c r="C6" s="286">
        <f>'Sources and Uses Budget'!$C5</f>
        <v>204423.93851008028</v>
      </c>
      <c r="D6" s="290">
        <f t="shared" ref="D6:D77" si="0">C6-B6</f>
        <v>0</v>
      </c>
      <c r="E6" s="288"/>
      <c r="F6" s="287"/>
      <c r="G6" s="383"/>
    </row>
    <row r="7" spans="1:7" s="380" customFormat="1">
      <c r="A7" s="395" t="s">
        <v>29</v>
      </c>
      <c r="B7" s="286">
        <f>'Sources and Uses Budget'!$C6</f>
        <v>157480.99309825955</v>
      </c>
      <c r="C7" s="286">
        <f>'Sources and Uses Budget'!$C6</f>
        <v>157480.99309825955</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6076904.9316083398</v>
      </c>
      <c r="C9" s="290">
        <f>SUM(C5:C8)</f>
        <v>6076904.9316083398</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486400</v>
      </c>
      <c r="C11" s="286">
        <f>'Sources and Uses Budget'!$C10</f>
        <v>486400</v>
      </c>
      <c r="D11" s="290">
        <f t="shared" si="0"/>
        <v>0</v>
      </c>
      <c r="E11" s="288"/>
      <c r="F11" s="287"/>
      <c r="G11" s="383"/>
    </row>
    <row r="12" spans="1:7" s="380" customFormat="1">
      <c r="A12" s="396" t="s">
        <v>605</v>
      </c>
      <c r="B12" s="290">
        <f>SUM(B10:B11)</f>
        <v>486400</v>
      </c>
      <c r="C12" s="290">
        <f>SUM(C10:C11)</f>
        <v>486400</v>
      </c>
      <c r="D12" s="290">
        <f t="shared" si="0"/>
        <v>0</v>
      </c>
      <c r="E12" s="288"/>
      <c r="F12" s="287"/>
      <c r="G12" s="383"/>
    </row>
    <row r="13" spans="1:7" s="380" customFormat="1">
      <c r="A13" s="396" t="s">
        <v>84</v>
      </c>
      <c r="B13" s="290">
        <f>SUM(B9+B12)</f>
        <v>6563304.9316083398</v>
      </c>
      <c r="C13" s="290">
        <f>SUM(C9+C12)</f>
        <v>6563304.9316083398</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880827.85740740737</v>
      </c>
      <c r="C30" s="286">
        <f>'Sources and Uses Budget'!$C29</f>
        <v>880827.85740740737</v>
      </c>
      <c r="D30" s="290">
        <f t="shared" si="0"/>
        <v>0</v>
      </c>
      <c r="E30" s="288"/>
      <c r="F30" s="287"/>
      <c r="G30" s="383"/>
    </row>
    <row r="31" spans="1:7" s="380" customFormat="1">
      <c r="A31" s="145" t="s">
        <v>608</v>
      </c>
      <c r="B31" s="286">
        <f>'Sources and Uses Budget'!$C30</f>
        <v>37694779.200387418</v>
      </c>
      <c r="C31" s="286">
        <f>'Sources and Uses Budget'!$C30</f>
        <v>37694779.200387418</v>
      </c>
      <c r="D31" s="290">
        <f t="shared" si="0"/>
        <v>0</v>
      </c>
      <c r="E31" s="288"/>
      <c r="F31" s="287"/>
      <c r="G31" s="383"/>
    </row>
    <row r="32" spans="1:7" s="380" customFormat="1">
      <c r="A32" s="145" t="s">
        <v>609</v>
      </c>
      <c r="B32" s="286">
        <f>'Sources and Uses Budget'!$C31</f>
        <v>2024290.7400000002</v>
      </c>
      <c r="C32" s="286">
        <f>'Sources and Uses Budget'!$C31</f>
        <v>2024290.7400000002</v>
      </c>
      <c r="D32" s="290">
        <f t="shared" si="0"/>
        <v>0</v>
      </c>
      <c r="E32" s="288"/>
      <c r="F32" s="287"/>
      <c r="G32" s="383"/>
    </row>
    <row r="33" spans="1:7" s="380" customFormat="1">
      <c r="A33" s="145" t="s">
        <v>137</v>
      </c>
      <c r="B33" s="286">
        <f>'Sources and Uses Budget'!$C32</f>
        <v>724333.92649180512</v>
      </c>
      <c r="C33" s="286">
        <f>'Sources and Uses Budget'!$C32</f>
        <v>724333.92649180512</v>
      </c>
      <c r="D33" s="290">
        <f t="shared" si="0"/>
        <v>0</v>
      </c>
      <c r="E33" s="288"/>
      <c r="F33" s="287"/>
      <c r="G33" s="383"/>
    </row>
    <row r="34" spans="1:7" s="380" customFormat="1">
      <c r="A34" s="145" t="s">
        <v>138</v>
      </c>
      <c r="B34" s="286">
        <f>'Sources and Uses Budget'!$C33</f>
        <v>724333.92649180512</v>
      </c>
      <c r="C34" s="286">
        <f>'Sources and Uses Budget'!$C33</f>
        <v>724333.92649180512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726025.46765347419</v>
      </c>
      <c r="C36" s="286">
        <f>'Sources and Uses Budget'!$C35</f>
        <v>726025.46765347419</v>
      </c>
      <c r="D36" s="290">
        <f t="shared" si="0"/>
        <v>0</v>
      </c>
      <c r="E36" s="288"/>
      <c r="F36" s="287"/>
      <c r="G36" s="383"/>
    </row>
    <row r="37" spans="1:7" s="380" customFormat="1">
      <c r="A37" s="304" t="s">
        <v>1752</v>
      </c>
      <c r="B37" s="286">
        <f>'Sources and Uses Budget'!$C36</f>
        <v>194420.97913365377</v>
      </c>
      <c r="C37" s="286">
        <f>'Sources and Uses Budget'!$C36</f>
        <v>194420.97913365377</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42969012.097565562</v>
      </c>
      <c r="C39" s="290">
        <f>SUM(C30:C38)</f>
        <v>42969012.097565562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1766212.181297167</v>
      </c>
      <c r="C41" s="286">
        <f>'Sources and Uses Budget'!$C40</f>
        <v>1766212.181297167</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1766212.181297167</v>
      </c>
      <c r="C43" s="290">
        <f>SUM(C41:C42)</f>
        <v>1766212.181297167</v>
      </c>
      <c r="D43" s="290">
        <f t="shared" si="0"/>
        <v>0</v>
      </c>
      <c r="E43" s="288"/>
      <c r="F43" s="287"/>
      <c r="G43" s="383"/>
    </row>
    <row r="44" spans="1:7" s="380" customFormat="1">
      <c r="A44" s="291" t="s">
        <v>148</v>
      </c>
      <c r="B44" s="286">
        <f>'Sources and Uses Budget'!$C43</f>
        <v>509862.62054306082</v>
      </c>
      <c r="C44" s="286">
        <f>'Sources and Uses Budget'!$C43</f>
        <v>509862.62054306082</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5564674.6321155317</v>
      </c>
      <c r="C46" s="286">
        <f>'Sources and Uses Budget'!$C45</f>
        <v>5564674.6321155317</v>
      </c>
      <c r="D46" s="290">
        <f t="shared" si="0"/>
        <v>0</v>
      </c>
      <c r="E46" s="288"/>
      <c r="F46" s="287"/>
      <c r="G46" s="383"/>
    </row>
    <row r="47" spans="1:7" s="380" customFormat="1">
      <c r="A47" s="145" t="s">
        <v>151</v>
      </c>
      <c r="B47" s="286">
        <f>'Sources and Uses Budget'!$C46</f>
        <v>399016.91612211056</v>
      </c>
      <c r="C47" s="286">
        <f>'Sources and Uses Budget'!$C46</f>
        <v>399016.91612211056</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232457.61225494975</v>
      </c>
      <c r="C50" s="286">
        <f>'Sources and Uses Budget'!$C49</f>
        <v>232457.61225494975</v>
      </c>
      <c r="D50" s="290">
        <f t="shared" si="0"/>
        <v>0</v>
      </c>
      <c r="E50" s="288"/>
      <c r="F50" s="287"/>
      <c r="G50" s="383"/>
    </row>
    <row r="51" spans="1:7" s="380" customFormat="1">
      <c r="A51" s="145" t="s">
        <v>156</v>
      </c>
      <c r="B51" s="286">
        <f>'Sources and Uses Budget'!$C50</f>
        <v>77768.391653461513</v>
      </c>
      <c r="C51" s="286">
        <f>'Sources and Uses Budget'!$C50</f>
        <v>77768.391653461513</v>
      </c>
      <c r="D51" s="290">
        <f t="shared" si="0"/>
        <v>0</v>
      </c>
      <c r="E51" s="288"/>
      <c r="F51" s="287"/>
      <c r="G51" s="383"/>
    </row>
    <row r="52" spans="1:7" s="380" customFormat="1">
      <c r="A52" s="304" t="s">
        <v>154</v>
      </c>
      <c r="B52" s="286">
        <f>'Sources and Uses Budget'!$C51</f>
        <v>7776.8391653461513</v>
      </c>
      <c r="C52" s="286">
        <f>'Sources and Uses Budget'!$C51</f>
        <v>7776.8391653461513</v>
      </c>
      <c r="D52" s="290">
        <f t="shared" si="0"/>
        <v>0</v>
      </c>
      <c r="E52" s="288"/>
      <c r="F52" s="287"/>
      <c r="G52" s="383"/>
    </row>
    <row r="53" spans="1:7" s="380" customFormat="1">
      <c r="A53" s="145" t="s">
        <v>155</v>
      </c>
      <c r="B53" s="286">
        <f>'Sources and Uses Budget'!$C52</f>
        <v>1458157.3435024032</v>
      </c>
      <c r="C53" s="286">
        <f>'Sources and Uses Budget'!$C52</f>
        <v>1458157.3435024032</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7739851.7348138019</v>
      </c>
      <c r="C55" s="293">
        <f>SUM(C46:C54)</f>
        <v>7739851.7348138019</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63800</v>
      </c>
      <c r="C57" s="286">
        <f>'Sources and Uses Budget'!$C56</f>
        <v>63800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88800</v>
      </c>
      <c r="C63" s="290">
        <f>SUM(C57:C62)</f>
        <v>88800</v>
      </c>
      <c r="D63" s="290">
        <f t="shared" si="0"/>
        <v>0</v>
      </c>
      <c r="E63" s="288"/>
      <c r="F63" s="287"/>
      <c r="G63" s="383"/>
    </row>
    <row r="64" spans="1:7" s="380" customFormat="1">
      <c r="A64" s="294" t="s">
        <v>303</v>
      </c>
      <c r="B64" s="290">
        <f>SUM(B9+B12+B14+B15+B17+B26+B28+B39+B43+B44+B55+B63)</f>
        <v>59637043.565827936</v>
      </c>
      <c r="C64" s="290">
        <f>SUM(C9+C12+C14+C15+C17+C26+C28+C39+C43+C44+C55+C63)</f>
        <v>59637043.565827936</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(Sponsor Legal)</v>
      </c>
      <c r="B70" s="286">
        <f>'Sources and Uses Budget'!$C69</f>
        <v>131234.16091521629</v>
      </c>
      <c r="C70" s="286">
        <f>'Sources and Uses Budget'!$C69</f>
        <v>131234.16091521629</v>
      </c>
      <c r="D70" s="290">
        <f t="shared" si="0"/>
        <v>0</v>
      </c>
      <c r="E70" s="288"/>
      <c r="F70" s="287"/>
      <c r="G70" s="383"/>
    </row>
    <row r="71" spans="1:7" s="380" customFormat="1">
      <c r="A71" s="149" t="s">
        <v>1757</v>
      </c>
      <c r="B71" s="290">
        <f>SUM(B66:B70)</f>
        <v>206234.16091521629</v>
      </c>
      <c r="C71" s="290">
        <f>SUM(C66:C70)</f>
        <v>206234.16091521629</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144000</v>
      </c>
      <c r="C75" s="286">
        <f>'Sources and Uses Budget'!$C74</f>
        <v>144000</v>
      </c>
      <c r="D75" s="290">
        <f t="shared" si="0"/>
        <v>0</v>
      </c>
      <c r="E75" s="288"/>
      <c r="F75" s="287"/>
      <c r="G75" s="383"/>
    </row>
    <row r="76" spans="1:7" s="380" customFormat="1">
      <c r="A76" s="289" t="s">
        <v>614</v>
      </c>
      <c r="B76" s="286">
        <f>'Sources and Uses Budget'!$C75</f>
        <v>451156</v>
      </c>
      <c r="C76" s="286">
        <f>'Sources and Uses Budget'!$C75</f>
        <v>451156</v>
      </c>
      <c r="D76" s="290">
        <f t="shared" si="0"/>
        <v>0</v>
      </c>
      <c r="E76" s="288"/>
      <c r="F76" s="287"/>
      <c r="G76" s="383"/>
    </row>
    <row r="77" spans="1:7" s="380" customFormat="1">
      <c r="A77" s="292" t="s">
        <v>34</v>
      </c>
      <c r="B77" s="286">
        <f>'Sources and Uses Budget'!$C76</f>
        <v>127353.59999999999</v>
      </c>
      <c r="C77" s="286">
        <f>'Sources and Uses Budget'!$C76</f>
        <v>127353.59999999999</v>
      </c>
      <c r="D77" s="290">
        <f t="shared" si="0"/>
        <v>0</v>
      </c>
      <c r="E77" s="288"/>
      <c r="F77" s="287"/>
      <c r="G77" s="383"/>
    </row>
    <row r="78" spans="1:7" s="380" customFormat="1">
      <c r="A78" s="291" t="s">
        <v>615</v>
      </c>
      <c r="B78" s="290">
        <f>SUM(B73:B77)</f>
        <v>722509.6</v>
      </c>
      <c r="C78" s="290">
        <f>SUM(C73:C77)</f>
        <v>722509.6</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4333740.6251641735</v>
      </c>
      <c r="C80" s="286">
        <f>'Sources and Uses Budget'!$C79</f>
        <v>4333740.6251641735</v>
      </c>
      <c r="D80" s="290">
        <f t="shared" si="1"/>
        <v>0</v>
      </c>
      <c r="E80" s="288"/>
      <c r="F80" s="287"/>
      <c r="G80" s="383"/>
    </row>
    <row r="81" spans="1:7" s="380" customFormat="1">
      <c r="A81" s="544" t="s">
        <v>58</v>
      </c>
      <c r="B81" s="286">
        <f>'Sources and Uses Budget'!$C80</f>
        <v>1277887.0048388552</v>
      </c>
      <c r="C81" s="286">
        <f>'Sources and Uses Budget'!$C80</f>
        <v>1277887.0048388552</v>
      </c>
      <c r="D81" s="290">
        <f>C81-B81</f>
        <v>0</v>
      </c>
      <c r="E81" s="288"/>
      <c r="F81" s="287"/>
      <c r="G81" s="383"/>
    </row>
    <row r="82" spans="1:7" s="380" customFormat="1">
      <c r="A82" s="291" t="s">
        <v>1316</v>
      </c>
      <c r="B82" s="290">
        <f>SUM(B80:B81)</f>
        <v>5611627.6300030285</v>
      </c>
      <c r="C82" s="290">
        <f>SUM(C80:C81)</f>
        <v>5611627.6300030285</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90366.98000000001</v>
      </c>
      <c r="C84" s="286">
        <f>'Sources and Uses Budget'!$C83</f>
        <v>90366.98000000001</v>
      </c>
      <c r="D84" s="290">
        <f t="shared" si="1"/>
        <v>0</v>
      </c>
      <c r="E84" s="288"/>
      <c r="F84" s="287"/>
      <c r="G84" s="383"/>
    </row>
    <row r="85" spans="1:7" s="380" customFormat="1">
      <c r="A85" s="289" t="s">
        <v>777</v>
      </c>
      <c r="B85" s="286">
        <f>'Sources and Uses Budget'!$C84</f>
        <v>52007.611918252383</v>
      </c>
      <c r="C85" s="286">
        <f>'Sources and Uses Budget'!$C84</f>
        <v>52007.611918252383</v>
      </c>
      <c r="D85" s="290">
        <f t="shared" si="1"/>
        <v>0</v>
      </c>
      <c r="E85" s="288"/>
      <c r="F85" s="287"/>
      <c r="G85" s="383"/>
    </row>
    <row r="86" spans="1:7" s="380" customFormat="1">
      <c r="A86" s="289" t="s">
        <v>778</v>
      </c>
      <c r="B86" s="286">
        <f>'Sources and Uses Budget'!$C85</f>
        <v>1091517</v>
      </c>
      <c r="C86" s="286">
        <f>'Sources and Uses Budget'!$C85</f>
        <v>1091517</v>
      </c>
      <c r="D86" s="290">
        <f t="shared" si="1"/>
        <v>0</v>
      </c>
      <c r="E86" s="288"/>
      <c r="F86" s="287"/>
      <c r="G86" s="383"/>
    </row>
    <row r="87" spans="1:7" s="380" customFormat="1">
      <c r="A87" s="289" t="s">
        <v>779</v>
      </c>
      <c r="B87" s="286">
        <f>'Sources and Uses Budget'!$C86</f>
        <v>1474052.3760783677</v>
      </c>
      <c r="C87" s="286">
        <f>'Sources and Uses Budget'!$C86</f>
        <v>1474052.3760783677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59000</v>
      </c>
      <c r="C89" s="286">
        <f>'Sources and Uses Budget'!$C88</f>
        <v>59000</v>
      </c>
      <c r="D89" s="290">
        <f t="shared" si="1"/>
        <v>0</v>
      </c>
      <c r="E89" s="288"/>
      <c r="F89" s="287"/>
      <c r="G89" s="383"/>
    </row>
    <row r="90" spans="1:7" s="380" customFormat="1">
      <c r="A90" s="289" t="s">
        <v>782</v>
      </c>
      <c r="B90" s="286">
        <f>'Sources and Uses Budget'!$C89</f>
        <v>60000</v>
      </c>
      <c r="C90" s="286">
        <f>'Sources and Uses Budget'!$C89</f>
        <v>60000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33537.618900555273</v>
      </c>
      <c r="C93" s="286">
        <f>'Sources and Uses Budget'!$C92</f>
        <v>33537.618900555273</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2875481.5868971753</v>
      </c>
      <c r="C97" s="290">
        <f>SUM(C84:C96)</f>
        <v>2875481.5868971753</v>
      </c>
      <c r="D97" s="290">
        <f t="shared" si="1"/>
        <v>0</v>
      </c>
      <c r="E97" s="288"/>
      <c r="F97" s="287"/>
      <c r="G97" s="383"/>
    </row>
    <row r="98" spans="1:7" s="380" customFormat="1">
      <c r="A98" s="291" t="s">
        <v>785</v>
      </c>
      <c r="B98" s="290">
        <f>SUM(B64+B71+B78+B82+B97)</f>
        <v>69052896.543643355</v>
      </c>
      <c r="C98" s="290">
        <f>SUM(C64+C71+C78+C82+C97)</f>
        <v>69052896.543643355</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4397030.8726380551</v>
      </c>
      <c r="C100" s="286">
        <f>'Sources and Uses Budget'!$C99</f>
        <v>4397030.8726380551</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4397030.8726380551</v>
      </c>
      <c r="C105" s="290">
        <f>SUM(C100:C104)</f>
        <v>4397030.8726380551</v>
      </c>
      <c r="D105" s="290">
        <f t="shared" si="1"/>
        <v>0</v>
      </c>
      <c r="E105" s="288"/>
      <c r="F105" s="287"/>
      <c r="G105" s="383"/>
    </row>
    <row r="106" spans="1:7" s="380" customFormat="1">
      <c r="A106" s="291" t="s">
        <v>790</v>
      </c>
      <c r="B106" s="293">
        <f>SUM(B98+B105)</f>
        <v>73449927.416281417</v>
      </c>
      <c r="C106" s="293">
        <f>SUM(C98+C105)</f>
        <v>73449927.416281417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2"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4">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4">
      <c r="A21" s="176"/>
      <c r="B21" s="468" t="s">
        <v>308</v>
      </c>
      <c r="D21" s="1309" t="s">
        <v>1153</v>
      </c>
      <c r="E21" s="1309"/>
      <c r="F21" s="1309"/>
    </row>
    <row r="22" spans="1:6" ht="14.4">
      <c r="A22" s="176"/>
      <c r="B22" s="176"/>
      <c r="D22" s="35"/>
    </row>
    <row r="23" spans="1:6" ht="14.4">
      <c r="A23" s="176"/>
      <c r="B23" s="468" t="s">
        <v>308</v>
      </c>
      <c r="D23" s="1266" t="s">
        <v>1154</v>
      </c>
      <c r="E23" s="1266"/>
      <c r="F23" s="1266"/>
    </row>
    <row r="24" spans="1:6" ht="14.4">
      <c r="A24" s="176"/>
      <c r="B24" s="176"/>
      <c r="D24" s="1266"/>
      <c r="E24" s="1266"/>
      <c r="F24" s="1266"/>
    </row>
    <row r="25" spans="1:6"/>
    <row r="26" spans="1:6" ht="14.4">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4">
      <c r="A34" s="176"/>
      <c r="B34" s="176"/>
      <c r="D34" s="220"/>
    </row>
    <row r="35" spans="1:6" ht="14.4" customHeight="1">
      <c r="A35" s="176"/>
      <c r="B35" s="468" t="s">
        <v>308</v>
      </c>
      <c r="D35" s="1266" t="s">
        <v>1157</v>
      </c>
      <c r="E35" s="1266"/>
      <c r="F35" s="1266"/>
    </row>
    <row r="36" spans="1:6" ht="14.4">
      <c r="A36" s="176"/>
      <c r="B36" s="176"/>
      <c r="D36" s="1266"/>
      <c r="E36" s="1266"/>
      <c r="F36" s="1266"/>
    </row>
    <row r="37" spans="1:6" ht="14.4">
      <c r="A37" s="176"/>
      <c r="B37" s="176"/>
      <c r="D37" s="1266"/>
      <c r="E37" s="1266"/>
      <c r="F37" s="1266"/>
    </row>
    <row r="38" spans="1:6" ht="14.4">
      <c r="A38" s="176"/>
      <c r="B38" s="176"/>
      <c r="D38"/>
    </row>
    <row r="39" spans="1:6" ht="14.4">
      <c r="A39" s="176"/>
      <c r="B39" s="468" t="s">
        <v>308</v>
      </c>
      <c r="D39" s="1266" t="s">
        <v>1158</v>
      </c>
      <c r="E39" s="1266"/>
      <c r="F39" s="1266"/>
    </row>
    <row r="40" spans="1:6" ht="14.4">
      <c r="A40" s="176"/>
      <c r="B40" s="176"/>
      <c r="D40" s="1266"/>
      <c r="E40" s="1266"/>
      <c r="F40" s="1266"/>
    </row>
    <row r="41" spans="1:6" ht="14.4">
      <c r="A41" s="176"/>
      <c r="B41" s="176"/>
      <c r="D41" s="1266"/>
      <c r="E41" s="1266"/>
      <c r="F41" s="1266"/>
    </row>
    <row r="42" spans="1:6" ht="14.4">
      <c r="A42" s="176"/>
      <c r="B42" s="176"/>
      <c r="D42" s="1266"/>
      <c r="E42" s="1266"/>
      <c r="F42" s="1266"/>
    </row>
    <row r="43" spans="1:6" ht="14.4">
      <c r="A43" s="176"/>
      <c r="B43" s="176"/>
      <c r="D43" s="1266"/>
      <c r="E43" s="1266"/>
      <c r="F43" s="1266"/>
    </row>
    <row r="44" spans="1:6" ht="14.4">
      <c r="A44" s="176"/>
      <c r="B44" s="176"/>
      <c r="D44" s="474"/>
      <c r="E44" s="474"/>
      <c r="F44" s="474"/>
    </row>
    <row r="45" spans="1:6" ht="14.4">
      <c r="A45" s="176"/>
      <c r="B45" s="468" t="s">
        <v>308</v>
      </c>
      <c r="D45" s="1266" t="s">
        <v>1159</v>
      </c>
      <c r="E45" s="1266"/>
      <c r="F45" s="1266"/>
    </row>
    <row r="46" spans="1:6" ht="14.4">
      <c r="A46" s="176"/>
      <c r="B46" s="176"/>
      <c r="D46" s="1266"/>
      <c r="E46" s="1266"/>
      <c r="F46" s="1266"/>
    </row>
    <row r="47" spans="1:6" ht="14.4">
      <c r="A47" s="176"/>
      <c r="B47" s="176"/>
      <c r="D47" s="1266"/>
      <c r="E47" s="1266"/>
      <c r="F47" s="1266"/>
    </row>
    <row r="48" spans="1:6" ht="23.25" customHeight="1">
      <c r="A48" s="176"/>
      <c r="B48" s="176"/>
      <c r="D48" s="1266"/>
      <c r="E48" s="1266"/>
      <c r="F48" s="1266"/>
    </row>
    <row r="49" spans="1:7" ht="14.4">
      <c r="A49" s="176"/>
      <c r="B49" s="176"/>
      <c r="D49" s="35"/>
    </row>
    <row r="50" spans="1:7" ht="14.4" customHeight="1">
      <c r="A50" s="176"/>
      <c r="B50" s="468" t="s">
        <v>308</v>
      </c>
      <c r="D50" s="1266" t="s">
        <v>1160</v>
      </c>
      <c r="E50" s="1266"/>
      <c r="F50" s="1266"/>
    </row>
    <row r="51" spans="1:7" ht="14.4">
      <c r="A51" s="176"/>
      <c r="B51" s="176"/>
      <c r="D51" s="1266"/>
      <c r="E51" s="1266"/>
      <c r="F51" s="1266"/>
    </row>
    <row r="52" spans="1:7" ht="14.4">
      <c r="A52" s="176"/>
      <c r="B52" s="176"/>
      <c r="D52" s="1266"/>
      <c r="E52" s="1266"/>
      <c r="F52" s="1266"/>
    </row>
    <row r="53" spans="1:7" ht="14.4">
      <c r="A53" s="176"/>
      <c r="B53" s="176"/>
      <c r="C53" s="385"/>
      <c r="D53" s="3"/>
      <c r="E53" s="3"/>
      <c r="F53" s="3"/>
      <c r="G53" s="3"/>
    </row>
    <row r="54" spans="1:7" ht="14.4">
      <c r="A54" s="176"/>
      <c r="B54" s="468" t="s">
        <v>308</v>
      </c>
      <c r="C54" s="385"/>
      <c r="D54" s="1266" t="s">
        <v>1161</v>
      </c>
      <c r="E54" s="1266"/>
      <c r="F54" s="1266"/>
      <c r="G54" s="3"/>
    </row>
    <row r="55" spans="1:7" ht="14.4">
      <c r="A55" s="176"/>
      <c r="B55" s="176"/>
      <c r="C55" s="385"/>
      <c r="D55" s="1266"/>
      <c r="E55" s="1266"/>
      <c r="F55" s="1266"/>
      <c r="G55" s="3"/>
    </row>
    <row r="56" spans="1:7">
      <c r="D56" s="220"/>
    </row>
    <row r="57" spans="1:7" ht="14.4">
      <c r="A57" s="176"/>
      <c r="B57" s="468" t="s">
        <v>308</v>
      </c>
      <c r="D57" s="1266" t="s">
        <v>1162</v>
      </c>
      <c r="E57" s="1266"/>
      <c r="F57" s="1266"/>
    </row>
    <row r="58" spans="1:7">
      <c r="D58" s="1266"/>
      <c r="E58" s="1266"/>
      <c r="F58" s="1266"/>
    </row>
    <row r="59" spans="1:7">
      <c r="D59" s="1266"/>
      <c r="E59" s="1266"/>
      <c r="F59" s="1266"/>
    </row>
    <row r="60" spans="1:7">
      <c r="D60" s="3"/>
    </row>
    <row r="61" spans="1:7" ht="14.4">
      <c r="A61" s="176"/>
      <c r="B61" s="468" t="s">
        <v>308</v>
      </c>
      <c r="D61" s="1266" t="s">
        <v>1163</v>
      </c>
      <c r="E61" s="1266"/>
      <c r="F61" s="1266"/>
    </row>
    <row r="62" spans="1:7">
      <c r="D62" s="1266"/>
      <c r="E62" s="1266"/>
      <c r="F62" s="1266"/>
    </row>
    <row r="63" spans="1:7"/>
    <row r="64" spans="1:7" ht="14.4">
      <c r="A64" s="176"/>
      <c r="B64" s="468" t="s">
        <v>308</v>
      </c>
      <c r="D64" s="1266" t="s">
        <v>1164</v>
      </c>
      <c r="E64" s="1266"/>
      <c r="F64" s="1266"/>
    </row>
    <row r="65" spans="1:7">
      <c r="D65" s="1266"/>
      <c r="E65" s="1266"/>
      <c r="F65" s="1266"/>
    </row>
    <row r="66" spans="1:7">
      <c r="D66" s="1266"/>
      <c r="E66" s="1266"/>
      <c r="F66" s="1266"/>
    </row>
    <row r="67" spans="1:7">
      <c r="D67"/>
    </row>
    <row r="68" spans="1:7" ht="14.4">
      <c r="A68" s="176"/>
      <c r="B68" s="468" t="s">
        <v>308</v>
      </c>
      <c r="D68" s="1266" t="s">
        <v>1165</v>
      </c>
      <c r="E68" s="1266"/>
      <c r="F68" s="1266"/>
    </row>
    <row r="69" spans="1:7">
      <c r="D69" s="1266"/>
      <c r="E69" s="1266"/>
      <c r="F69" s="1266"/>
    </row>
    <row r="70" spans="1:7" ht="14.4">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4">
      <c r="A76" s="176"/>
      <c r="B76" s="468" t="s">
        <v>308</v>
      </c>
      <c r="D76" s="1266" t="s">
        <v>1171</v>
      </c>
      <c r="E76" s="1266"/>
      <c r="F76" s="1266"/>
    </row>
    <row r="77" spans="1:7" ht="14.4">
      <c r="A77" s="176"/>
      <c r="B77" s="176"/>
      <c r="D77" s="1266"/>
      <c r="E77" s="1266"/>
      <c r="F77" s="1266"/>
    </row>
    <row r="78" spans="1:7" ht="14.4">
      <c r="A78" s="176"/>
      <c r="B78" s="176"/>
      <c r="D78" s="1266"/>
      <c r="E78" s="1266"/>
      <c r="F78" s="1266"/>
    </row>
    <row r="79" spans="1:7" ht="14.4">
      <c r="A79" s="176"/>
      <c r="B79" s="176"/>
      <c r="D79" s="1266"/>
      <c r="E79" s="1266"/>
      <c r="F79" s="1266"/>
    </row>
    <row r="80" spans="1:7" ht="14.4">
      <c r="A80" s="176"/>
      <c r="B80" s="176"/>
      <c r="D80" s="1266"/>
      <c r="E80" s="1266"/>
      <c r="F80" s="1266"/>
    </row>
    <row r="81" spans="1:6" ht="14.4">
      <c r="A81" s="176"/>
      <c r="B81" s="176"/>
      <c r="D81" s="1266"/>
      <c r="E81" s="1266"/>
      <c r="F81" s="1266"/>
    </row>
    <row r="82" spans="1:6" ht="14.4">
      <c r="A82" s="176"/>
      <c r="B82" s="176"/>
      <c r="D82" s="474"/>
      <c r="E82" s="474"/>
      <c r="F82" s="474"/>
    </row>
    <row r="83" spans="1:6" ht="14.4" customHeight="1">
      <c r="A83" s="176"/>
      <c r="B83" s="468" t="s">
        <v>308</v>
      </c>
      <c r="D83" s="1275" t="s">
        <v>1270</v>
      </c>
      <c r="E83" s="1275"/>
      <c r="F83" s="1275"/>
    </row>
    <row r="84" spans="1:6" ht="14.4">
      <c r="A84" s="176"/>
      <c r="B84" s="176"/>
      <c r="D84" s="1275"/>
      <c r="E84" s="1275"/>
      <c r="F84" s="1275"/>
    </row>
    <row r="85" spans="1:6" ht="14.4">
      <c r="A85" s="176"/>
      <c r="B85" s="176"/>
      <c r="D85" s="1275"/>
      <c r="E85" s="1275"/>
      <c r="F85" s="1275"/>
    </row>
    <row r="86" spans="1:6" ht="14.4">
      <c r="A86" s="176"/>
      <c r="B86" s="176"/>
      <c r="D86" s="1275"/>
      <c r="E86" s="1275"/>
      <c r="F86" s="1275"/>
    </row>
    <row r="87" spans="1:6" ht="14.4">
      <c r="A87" s="176"/>
      <c r="B87" s="176"/>
      <c r="D87" s="1275"/>
      <c r="E87" s="1275"/>
      <c r="F87" s="1275"/>
    </row>
    <row r="88" spans="1:6" ht="14.4">
      <c r="A88" s="176"/>
      <c r="B88" s="176"/>
      <c r="D88" s="1275"/>
      <c r="E88" s="1275"/>
      <c r="F88" s="1275"/>
    </row>
    <row r="89" spans="1:6" ht="14.4">
      <c r="A89" s="176"/>
      <c r="B89" s="176"/>
      <c r="D89" s="1275"/>
      <c r="E89" s="1275"/>
      <c r="F89" s="1275"/>
    </row>
    <row r="90" spans="1:6" ht="14.4">
      <c r="A90" s="176"/>
      <c r="B90" s="176"/>
      <c r="D90" s="1275"/>
      <c r="E90" s="1275"/>
      <c r="F90" s="1275"/>
    </row>
    <row r="91" spans="1:6" ht="14.4">
      <c r="A91" s="176"/>
      <c r="B91" s="176"/>
      <c r="D91" s="1275"/>
      <c r="E91" s="1275"/>
      <c r="F91" s="1275"/>
    </row>
    <row r="92" spans="1:6" ht="14.4">
      <c r="A92" s="176"/>
      <c r="B92" s="176"/>
      <c r="D92" s="1275"/>
      <c r="E92" s="1275"/>
      <c r="F92" s="1275"/>
    </row>
    <row r="93" spans="1:6" ht="14.4">
      <c r="A93" s="176"/>
      <c r="B93" s="176"/>
      <c r="D93" s="1275"/>
      <c r="E93" s="1275"/>
      <c r="F93" s="1275"/>
    </row>
    <row r="94" spans="1:6" ht="14.4">
      <c r="A94" s="176"/>
      <c r="B94" s="176"/>
      <c r="D94" s="1275"/>
      <c r="E94" s="1275"/>
      <c r="F94" s="1275"/>
    </row>
    <row r="95" spans="1:6" ht="14.4">
      <c r="A95" s="176"/>
      <c r="B95" s="176"/>
      <c r="D95" s="1275"/>
      <c r="E95" s="1275"/>
      <c r="F95" s="1275"/>
    </row>
    <row r="96" spans="1:6" ht="14.4">
      <c r="A96" s="176"/>
      <c r="B96" s="176"/>
      <c r="D96" s="1275"/>
      <c r="E96" s="1275"/>
      <c r="F96" s="1275"/>
    </row>
    <row r="97" spans="1:11" ht="14.4">
      <c r="A97" s="176"/>
      <c r="B97" s="468" t="s">
        <v>308</v>
      </c>
      <c r="D97" s="1266" t="s">
        <v>1172</v>
      </c>
      <c r="E97" s="1266"/>
      <c r="F97" s="1266"/>
    </row>
    <row r="98" spans="1:11" ht="14.4">
      <c r="A98" s="176"/>
      <c r="B98" s="176"/>
      <c r="D98" s="1266"/>
      <c r="E98" s="1266"/>
      <c r="F98" s="1266"/>
    </row>
    <row r="99" spans="1:11" ht="14.4">
      <c r="A99" s="176"/>
      <c r="B99" s="176"/>
      <c r="D99" s="1266"/>
      <c r="E99" s="1266"/>
      <c r="F99" s="1266"/>
    </row>
    <row r="100" spans="1:11" ht="14.4">
      <c r="A100" s="176"/>
      <c r="B100" s="176"/>
      <c r="D100" s="1266"/>
      <c r="E100" s="1266"/>
      <c r="F100" s="1266"/>
    </row>
    <row r="101" spans="1:11" ht="14.4">
      <c r="A101" s="176"/>
      <c r="B101" s="176"/>
      <c r="D101" s="1266"/>
      <c r="E101" s="1266"/>
      <c r="F101" s="1266"/>
    </row>
    <row r="102" spans="1:11" ht="14.4">
      <c r="A102" s="176"/>
      <c r="B102" s="176"/>
      <c r="D102" s="1266"/>
      <c r="E102" s="1266"/>
      <c r="F102" s="1266"/>
    </row>
    <row r="103" spans="1:11" ht="14.4">
      <c r="A103" s="176"/>
      <c r="B103" s="176"/>
      <c r="D103" s="1266"/>
      <c r="E103" s="1266"/>
      <c r="F103" s="1266"/>
    </row>
    <row r="104" spans="1:11" ht="14.4">
      <c r="A104" s="176"/>
      <c r="B104" s="176"/>
      <c r="D104" s="1266"/>
      <c r="E104" s="1266"/>
      <c r="F104" s="1266"/>
    </row>
    <row r="105" spans="1:11" ht="14.4">
      <c r="A105" s="176"/>
      <c r="B105" s="176"/>
      <c r="D105" s="474"/>
      <c r="E105" s="474"/>
      <c r="F105" s="474"/>
    </row>
    <row r="106" spans="1:11" ht="14.4">
      <c r="A106" s="176"/>
      <c r="B106" s="468" t="s">
        <v>308</v>
      </c>
      <c r="C106" s="179"/>
      <c r="D106" s="1303" t="s">
        <v>1173</v>
      </c>
      <c r="E106" s="1303"/>
      <c r="F106" s="1303"/>
      <c r="G106" s="183"/>
      <c r="H106" s="181"/>
      <c r="I106" s="181"/>
      <c r="J106" s="181"/>
      <c r="K106" s="181"/>
    </row>
    <row r="107" spans="1:11" ht="14.4">
      <c r="A107" s="176"/>
      <c r="B107" s="176"/>
      <c r="C107" s="179"/>
      <c r="D107" s="1303"/>
      <c r="E107" s="1303"/>
      <c r="F107" s="1303"/>
      <c r="G107" s="183"/>
      <c r="H107" s="181"/>
      <c r="I107" s="181"/>
      <c r="J107" s="181"/>
      <c r="K107" s="181"/>
    </row>
    <row r="108" spans="1:11" ht="14.4">
      <c r="A108" s="176"/>
      <c r="B108" s="176"/>
      <c r="C108" s="179"/>
      <c r="D108" s="1303"/>
      <c r="E108" s="1303"/>
      <c r="F108" s="1303"/>
      <c r="G108" s="183"/>
      <c r="H108" s="181"/>
      <c r="I108" s="181"/>
      <c r="J108" s="181"/>
      <c r="K108" s="181"/>
    </row>
    <row r="109" spans="1:11" ht="14.4">
      <c r="A109" s="176"/>
      <c r="B109" s="176"/>
      <c r="C109" s="179"/>
      <c r="D109" s="1303"/>
      <c r="E109" s="1303"/>
      <c r="F109" s="1303"/>
      <c r="G109" s="183"/>
      <c r="H109" s="181"/>
      <c r="I109" s="181"/>
      <c r="J109" s="181"/>
      <c r="K109" s="181"/>
    </row>
    <row r="110" spans="1:11" ht="14.4">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4">
      <c r="A114" s="176"/>
      <c r="B114" s="468" t="s">
        <v>308</v>
      </c>
      <c r="C114"/>
      <c r="D114" s="1304" t="s">
        <v>1174</v>
      </c>
      <c r="E114" s="1304"/>
      <c r="F114" s="1304"/>
      <c r="G114"/>
    </row>
    <row r="115" spans="1:7" ht="14.4">
      <c r="A115" s="176"/>
      <c r="B115" s="176"/>
      <c r="C115"/>
      <c r="D115" s="1304"/>
      <c r="E115" s="1304"/>
      <c r="F115" s="1304"/>
      <c r="G115"/>
    </row>
    <row r="116" spans="1:7"/>
    <row r="117" spans="1:7" ht="14.4">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4">
      <c r="A123" s="176"/>
      <c r="B123" s="468" t="s">
        <v>308</v>
      </c>
      <c r="D123" s="1266" t="s">
        <v>1176</v>
      </c>
      <c r="E123" s="1266"/>
      <c r="F123" s="1266"/>
    </row>
    <row r="124" spans="1:7" s="197" customFormat="1" ht="13.65" customHeight="1">
      <c r="A124" s="195"/>
      <c r="B124" s="195"/>
      <c r="C124" s="195"/>
      <c r="D124" s="1266"/>
      <c r="E124" s="1266"/>
      <c r="F124" s="1266"/>
      <c r="G124" s="196"/>
    </row>
    <row r="125" spans="1:7" ht="13.65" customHeight="1">
      <c r="D125" s="1266"/>
      <c r="E125" s="1266"/>
      <c r="F125" s="1266"/>
    </row>
    <row r="126" spans="1:7" ht="13.65" customHeight="1">
      <c r="D126" s="1266"/>
      <c r="E126" s="1266"/>
      <c r="F126" s="1266"/>
    </row>
    <row r="127" spans="1:7" ht="13.65" customHeight="1">
      <c r="D127" s="1266"/>
      <c r="E127" s="1266"/>
      <c r="F127" s="1266"/>
    </row>
    <row r="128" spans="1:7" ht="13.65" customHeight="1">
      <c r="A128" s="256"/>
      <c r="B128" s="256"/>
      <c r="D128" s="1266"/>
      <c r="E128" s="1266"/>
      <c r="F128" s="1266"/>
    </row>
    <row r="129" spans="2:6" ht="13.65" customHeight="1">
      <c r="D129" s="1266"/>
      <c r="E129" s="1266"/>
      <c r="F129" s="1266"/>
    </row>
    <row r="130" spans="2:6" ht="13.65" customHeight="1">
      <c r="D130" s="1266"/>
      <c r="E130" s="1266"/>
      <c r="F130" s="1266"/>
    </row>
    <row r="131" spans="2:6" ht="13.65" customHeight="1">
      <c r="D131" s="1266"/>
      <c r="E131" s="1266"/>
      <c r="F131" s="1266"/>
    </row>
    <row r="132" spans="2:6" ht="13.65" customHeight="1">
      <c r="D132" s="1266"/>
      <c r="E132" s="1266"/>
      <c r="F132" s="1266"/>
    </row>
    <row r="133" spans="2:6" ht="13.65" customHeight="1">
      <c r="D133" s="1266"/>
      <c r="E133" s="1266"/>
      <c r="F133" s="1266"/>
    </row>
    <row r="134" spans="2:6" ht="13.65" customHeight="1">
      <c r="D134" s="1266"/>
      <c r="E134" s="1266"/>
      <c r="F134" s="1266"/>
    </row>
    <row r="135" spans="2:6" ht="13.65" customHeight="1">
      <c r="D135" s="218"/>
      <c r="E135" s="35"/>
      <c r="F135" s="35"/>
    </row>
    <row r="136" spans="2:6" ht="13.65" customHeight="1">
      <c r="B136" s="468" t="s">
        <v>308</v>
      </c>
      <c r="D136" s="1266" t="s">
        <v>1284</v>
      </c>
      <c r="E136" s="1266"/>
      <c r="F136" s="1266"/>
    </row>
    <row r="137" spans="2:6" ht="13.65" customHeight="1">
      <c r="D137" s="1266"/>
      <c r="E137" s="1266"/>
      <c r="F137" s="1266"/>
    </row>
    <row r="138" spans="2:6" ht="13.65" customHeight="1">
      <c r="D138" s="1266"/>
      <c r="E138" s="1266"/>
      <c r="F138" s="1266"/>
    </row>
    <row r="139" spans="2:6" ht="13.65" customHeight="1">
      <c r="D139" s="1266"/>
      <c r="E139" s="1266"/>
      <c r="F139" s="1266"/>
    </row>
    <row r="140" spans="2:6" ht="13.65" customHeight="1">
      <c r="D140" s="1266"/>
      <c r="E140" s="1266"/>
      <c r="F140" s="1266"/>
    </row>
    <row r="141" spans="2:6" ht="13.65" customHeight="1">
      <c r="D141" s="1266"/>
      <c r="E141" s="1266"/>
      <c r="F141" s="1266"/>
    </row>
    <row r="142" spans="2:6" ht="13.65" customHeight="1">
      <c r="D142" s="1266"/>
      <c r="E142" s="1266"/>
      <c r="F142" s="1266"/>
    </row>
    <row r="143" spans="2:6" ht="13.65" customHeight="1">
      <c r="D143" s="1266"/>
      <c r="E143" s="1266"/>
      <c r="F143" s="1266"/>
    </row>
    <row r="144" spans="2:6" ht="13.65" customHeight="1">
      <c r="D144" s="1266"/>
      <c r="E144" s="1266"/>
      <c r="F144" s="1266"/>
    </row>
    <row r="145" spans="1:7" ht="13.65" customHeight="1">
      <c r="D145" s="1266"/>
      <c r="E145" s="1266"/>
      <c r="F145" s="1266"/>
    </row>
    <row r="146" spans="1:7" ht="13.65" customHeight="1">
      <c r="D146" s="1266"/>
      <c r="E146" s="1266"/>
      <c r="F146" s="1266"/>
    </row>
    <row r="147" spans="1:7" ht="13.65" customHeight="1">
      <c r="D147" s="1266"/>
      <c r="E147" s="1266"/>
      <c r="F147" s="1266"/>
    </row>
    <row r="148" spans="1:7" ht="13.65" customHeight="1">
      <c r="D148" s="1266"/>
      <c r="E148" s="1266"/>
      <c r="F148" s="1266"/>
    </row>
    <row r="149" spans="1:7" ht="13.65" customHeight="1">
      <c r="D149" s="1266"/>
      <c r="E149" s="1266"/>
      <c r="F149" s="1266"/>
    </row>
    <row r="150" spans="1:7" ht="13.65" customHeight="1">
      <c r="D150" s="1266"/>
      <c r="E150" s="1266"/>
      <c r="F150" s="1266"/>
    </row>
    <row r="151" spans="1:7" ht="13.65" customHeight="1">
      <c r="D151" s="1266"/>
      <c r="E151" s="1266"/>
      <c r="F151" s="1266"/>
    </row>
    <row r="152" spans="1:7" ht="13.65" customHeight="1">
      <c r="D152" s="1266"/>
      <c r="E152" s="1266"/>
      <c r="F152" s="1266"/>
    </row>
    <row r="153" spans="1:7" ht="13.65" customHeight="1">
      <c r="D153" s="1266"/>
      <c r="E153" s="1266"/>
      <c r="F153" s="1266"/>
    </row>
    <row r="154" spans="1:7" ht="13.65" customHeight="1">
      <c r="D154" s="1266"/>
      <c r="E154" s="1266"/>
      <c r="F154" s="1266"/>
    </row>
    <row r="155" spans="1:7" ht="13.65" customHeight="1">
      <c r="D155" s="218"/>
      <c r="E155" s="35"/>
      <c r="F155" s="35"/>
    </row>
    <row r="156" spans="1:7" ht="13.65" customHeight="1">
      <c r="A156" s="256"/>
      <c r="B156" s="468" t="s">
        <v>308</v>
      </c>
      <c r="C156" s="218"/>
      <c r="D156" s="1275" t="s">
        <v>1177</v>
      </c>
      <c r="E156" s="1275"/>
      <c r="F156" s="1275"/>
      <c r="G156" s="218"/>
    </row>
    <row r="157" spans="1:7" ht="13.65" customHeight="1">
      <c r="A157" s="256"/>
      <c r="B157" s="256"/>
      <c r="C157" s="218"/>
      <c r="D157" s="1275"/>
      <c r="E157" s="1275"/>
      <c r="F157" s="1275"/>
      <c r="G157" s="218"/>
    </row>
    <row r="158" spans="1:7" ht="13.65" customHeight="1">
      <c r="A158" s="256"/>
      <c r="B158" s="256"/>
      <c r="C158" s="218"/>
      <c r="D158" s="218"/>
      <c r="E158" s="218"/>
      <c r="F158" s="218"/>
      <c r="G158" s="218"/>
    </row>
    <row r="159" spans="1:7" ht="13.65" customHeight="1">
      <c r="A159" s="256"/>
      <c r="B159" s="468" t="s">
        <v>308</v>
      </c>
      <c r="C159" s="218"/>
      <c r="D159" s="1275" t="s">
        <v>1178</v>
      </c>
      <c r="E159" s="1275"/>
      <c r="F159" s="1275"/>
      <c r="G159" s="218"/>
    </row>
    <row r="160" spans="1:7" ht="13.65" customHeight="1">
      <c r="A160" s="256"/>
      <c r="B160" s="256"/>
      <c r="C160" s="218"/>
      <c r="D160" s="1275"/>
      <c r="E160" s="1275"/>
      <c r="F160" s="1275"/>
      <c r="G160" s="218"/>
    </row>
    <row r="161" spans="1:7" ht="13.65" customHeight="1">
      <c r="A161" s="256"/>
      <c r="B161" s="256"/>
      <c r="C161" s="218"/>
      <c r="D161" s="1275"/>
      <c r="E161" s="1275"/>
      <c r="F161" s="1275"/>
      <c r="G161" s="218"/>
    </row>
    <row r="162" spans="1:7" ht="13.65" customHeight="1">
      <c r="A162" s="256"/>
      <c r="B162" s="256"/>
      <c r="C162" s="218"/>
      <c r="D162" s="1275"/>
      <c r="E162" s="1275"/>
      <c r="F162" s="1275"/>
      <c r="G162" s="218"/>
    </row>
    <row r="163" spans="1:7" ht="13.65" customHeight="1">
      <c r="D163" s="35"/>
      <c r="E163" s="35"/>
      <c r="F163" s="35"/>
    </row>
    <row r="164" spans="1:7" ht="13.65" customHeight="1">
      <c r="B164" s="468" t="s">
        <v>308</v>
      </c>
      <c r="D164" s="1280" t="s">
        <v>1179</v>
      </c>
      <c r="E164" s="1280"/>
      <c r="F164" s="1280"/>
    </row>
    <row r="165" spans="1:7" ht="13.65" customHeight="1">
      <c r="D165" s="1280"/>
      <c r="E165" s="1280"/>
      <c r="F165" s="1280"/>
    </row>
    <row r="166" spans="1:7" ht="13.65" customHeight="1">
      <c r="D166" s="1280"/>
      <c r="E166" s="1280"/>
      <c r="F166" s="1280"/>
    </row>
    <row r="167" spans="1:7" ht="13.65"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2"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4">
      <c r="A178" s="176"/>
      <c r="B178" s="468" t="s">
        <v>308</v>
      </c>
      <c r="D178" s="1293" t="s">
        <v>1181</v>
      </c>
      <c r="E178" s="1293"/>
      <c r="F178" s="1293"/>
    </row>
    <row r="179" spans="1:7" ht="14.4">
      <c r="A179" s="176"/>
      <c r="B179" s="176"/>
      <c r="D179" s="1293"/>
      <c r="E179" s="1293"/>
      <c r="F179" s="1293"/>
    </row>
    <row r="180" spans="1:7" ht="14.4">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4">
      <c r="A186" s="176"/>
      <c r="B186" s="468" t="s">
        <v>308</v>
      </c>
      <c r="C186" s="385"/>
      <c r="D186" s="1266" t="s">
        <v>1180</v>
      </c>
      <c r="E186" s="1266"/>
      <c r="F186" s="1266"/>
      <c r="G186" s="3"/>
    </row>
    <row r="187" spans="1:7" ht="14.4" customHeight="1">
      <c r="A187" s="176"/>
      <c r="B187"/>
      <c r="C187" s="385"/>
      <c r="D187" s="1266"/>
      <c r="E187" s="1266"/>
      <c r="F187" s="1266"/>
      <c r="G187" s="3"/>
    </row>
    <row r="188" spans="1:7" ht="14.4">
      <c r="A188" s="176"/>
      <c r="B188" s="385"/>
      <c r="C188" s="385"/>
      <c r="D188" s="1266"/>
      <c r="E188" s="1266"/>
      <c r="F188" s="1266"/>
      <c r="G188" s="3"/>
    </row>
    <row r="189" spans="1:7" ht="14.4">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2" customHeight="1">
      <c r="A196" s="13"/>
      <c r="C196" s="13"/>
      <c r="D196" s="1282" t="s">
        <v>555</v>
      </c>
      <c r="E196" s="1282"/>
      <c r="F196" s="1282"/>
    </row>
    <row r="197" spans="1:6" ht="14.4">
      <c r="A197" s="176"/>
      <c r="B197" s="468" t="s">
        <v>308</v>
      </c>
      <c r="D197" s="1266" t="s">
        <v>1198</v>
      </c>
      <c r="E197" s="1266"/>
      <c r="F197" s="1266"/>
    </row>
    <row r="198" spans="1:6" ht="14.4">
      <c r="A198" s="176"/>
      <c r="B198" s="176"/>
      <c r="D198" s="1266"/>
      <c r="E198" s="1266"/>
      <c r="F198" s="1266"/>
    </row>
    <row r="199" spans="1:6"/>
    <row r="200" spans="1:6" ht="14.4">
      <c r="A200" s="176"/>
      <c r="B200" s="468" t="s">
        <v>308</v>
      </c>
      <c r="D200" s="1266" t="s">
        <v>1199</v>
      </c>
      <c r="E200" s="1266"/>
      <c r="F200" s="1266"/>
    </row>
    <row r="201" spans="1:6" ht="14.4">
      <c r="A201" s="176"/>
      <c r="B201" s="176"/>
      <c r="D201" s="1266"/>
      <c r="E201" s="1266"/>
      <c r="F201" s="1266"/>
    </row>
    <row r="202" spans="1:6" ht="14.4">
      <c r="A202" s="176"/>
      <c r="B202" s="176"/>
      <c r="D202" s="1266"/>
      <c r="E202" s="1266"/>
      <c r="F202" s="1266"/>
    </row>
    <row r="203" spans="1:6" ht="5.0999999999999996" customHeight="1">
      <c r="A203" s="176"/>
      <c r="B203" s="176"/>
      <c r="D203" s="35"/>
      <c r="E203" s="35"/>
      <c r="F203" s="35"/>
    </row>
    <row r="204" spans="1:6" ht="14.4">
      <c r="A204" s="176"/>
      <c r="B204" s="176"/>
      <c r="D204" s="1266" t="s">
        <v>1200</v>
      </c>
      <c r="E204" s="1266"/>
      <c r="F204" s="1266"/>
    </row>
    <row r="205" spans="1:6" ht="14.4">
      <c r="A205" s="176"/>
      <c r="B205" s="176"/>
      <c r="D205" s="1266"/>
      <c r="E205" s="1266"/>
      <c r="F205" s="1266"/>
    </row>
    <row r="206" spans="1:6" ht="14.4">
      <c r="A206" s="176"/>
      <c r="B206" s="176"/>
      <c r="D206" s="1266"/>
      <c r="E206" s="1266"/>
      <c r="F206" s="1266"/>
    </row>
    <row r="207" spans="1:6" ht="14.4">
      <c r="A207" s="176"/>
      <c r="B207" s="176"/>
      <c r="D207" s="1266"/>
      <c r="E207" s="1266"/>
      <c r="F207" s="1266"/>
    </row>
    <row r="208" spans="1:6" ht="14.4">
      <c r="A208" s="176"/>
      <c r="B208" s="176"/>
      <c r="D208" s="1266"/>
      <c r="E208" s="1266"/>
      <c r="F208" s="1266"/>
    </row>
    <row r="209" spans="1:7" ht="14.4">
      <c r="A209" s="176"/>
      <c r="B209" s="176"/>
      <c r="D209" s="35"/>
      <c r="E209" s="35"/>
      <c r="F209" s="35"/>
    </row>
    <row r="210" spans="1:7" ht="14.4">
      <c r="A210" s="176"/>
      <c r="B210" s="468" t="s">
        <v>308</v>
      </c>
      <c r="D210" s="1266" t="s">
        <v>1201</v>
      </c>
      <c r="E210" s="1266"/>
      <c r="F210" s="1266"/>
    </row>
    <row r="211" spans="1:7" ht="14.4">
      <c r="A211" s="176"/>
      <c r="B211" s="176"/>
      <c r="D211" s="1266"/>
      <c r="E211" s="1266"/>
      <c r="F211" s="1266"/>
    </row>
    <row r="212" spans="1:7" ht="14.4">
      <c r="A212" s="176"/>
      <c r="B212" s="176"/>
      <c r="D212" s="1298" t="s">
        <v>910</v>
      </c>
      <c r="E212" s="1298"/>
      <c r="F212" s="1298"/>
    </row>
    <row r="213" spans="1:7" ht="14.4">
      <c r="A213" s="176"/>
      <c r="B213" s="176"/>
      <c r="D213" s="35"/>
      <c r="E213" s="35"/>
      <c r="F213" s="35"/>
    </row>
    <row r="214" spans="1:7" ht="14.4" customHeight="1">
      <c r="A214" s="176"/>
      <c r="B214" s="468" t="s">
        <v>308</v>
      </c>
      <c r="D214" s="1266" t="s">
        <v>1203</v>
      </c>
      <c r="E214" s="1266"/>
      <c r="F214" s="1266"/>
    </row>
    <row r="215" spans="1:7" ht="14.4">
      <c r="A215" s="176"/>
      <c r="B215" s="176"/>
      <c r="D215" s="1266"/>
      <c r="E215" s="1266"/>
      <c r="F215" s="1266"/>
    </row>
    <row r="216" spans="1:7" ht="14.4">
      <c r="A216" s="176"/>
      <c r="B216" s="176"/>
      <c r="D216" s="1266"/>
      <c r="E216" s="1266"/>
      <c r="F216" s="1266"/>
    </row>
    <row r="217" spans="1:7" ht="14.4">
      <c r="A217" s="176"/>
      <c r="B217" s="176"/>
      <c r="D217" s="1266"/>
      <c r="E217" s="1266"/>
      <c r="F217" s="1266"/>
    </row>
    <row r="218" spans="1:7" ht="14.4">
      <c r="A218" s="176"/>
      <c r="B218" s="176"/>
      <c r="D218" s="1266"/>
      <c r="E218" s="1266"/>
      <c r="F218" s="1266"/>
    </row>
    <row r="219" spans="1:7">
      <c r="D219" s="35"/>
      <c r="E219" s="35"/>
      <c r="F219" s="35"/>
    </row>
    <row r="220" spans="1:7" ht="14.4">
      <c r="A220" s="176"/>
      <c r="B220" s="468" t="s">
        <v>308</v>
      </c>
      <c r="D220" s="1266" t="s">
        <v>1202</v>
      </c>
      <c r="E220" s="1266"/>
      <c r="F220" s="1266"/>
    </row>
    <row r="221" spans="1:7" ht="14.4">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4">
      <c r="A228" s="176"/>
      <c r="B228" s="468" t="s">
        <v>308</v>
      </c>
      <c r="D228" s="1284" t="s">
        <v>1206</v>
      </c>
      <c r="E228" s="1284"/>
      <c r="F228" s="1284"/>
    </row>
    <row r="229" spans="1:6" ht="14.4">
      <c r="A229" s="176"/>
      <c r="B229" s="176"/>
      <c r="D229" s="1284"/>
      <c r="E229" s="1284"/>
      <c r="F229" s="1284"/>
    </row>
    <row r="230" spans="1:6">
      <c r="D230" s="35"/>
      <c r="E230" s="35"/>
      <c r="F230" s="35"/>
    </row>
    <row r="231" spans="1:6" ht="14.4"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4">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4">
      <c r="A253" s="176"/>
      <c r="B253" s="468" t="s">
        <v>308</v>
      </c>
      <c r="D253" s="1266" t="s">
        <v>1212</v>
      </c>
      <c r="E253" s="1266"/>
      <c r="F253" s="1266"/>
    </row>
    <row r="254" spans="1:7" ht="14.4">
      <c r="A254" s="176"/>
      <c r="B254" s="176"/>
      <c r="D254" s="1266"/>
      <c r="E254" s="1266"/>
      <c r="F254" s="1266"/>
    </row>
    <row r="255" spans="1:7">
      <c r="D255" s="35"/>
      <c r="E255" s="35"/>
      <c r="F255" s="35"/>
    </row>
    <row r="256" spans="1:7" ht="14.4">
      <c r="A256" s="176"/>
      <c r="B256" s="468" t="s">
        <v>308</v>
      </c>
      <c r="D256" s="1266" t="s">
        <v>1213</v>
      </c>
      <c r="E256" s="1266"/>
      <c r="F256" s="1266"/>
    </row>
    <row r="257" spans="1:7" ht="14.4">
      <c r="A257" s="176"/>
      <c r="B257" s="176"/>
      <c r="D257" s="1266"/>
      <c r="E257" s="1266"/>
      <c r="F257" s="1266"/>
    </row>
    <row r="258" spans="1:7" ht="14.4">
      <c r="A258" s="176"/>
      <c r="B258" s="176"/>
      <c r="D258" s="1266"/>
      <c r="E258" s="1266"/>
      <c r="F258" s="1266"/>
    </row>
    <row r="259" spans="1:7">
      <c r="D259" s="35"/>
      <c r="E259" s="35"/>
      <c r="F259" s="35"/>
    </row>
    <row r="260" spans="1:7" ht="14.4">
      <c r="A260" s="176"/>
      <c r="B260" s="468" t="s">
        <v>308</v>
      </c>
      <c r="D260" s="1266" t="s">
        <v>1214</v>
      </c>
      <c r="E260" s="1266"/>
      <c r="F260" s="1266"/>
    </row>
    <row r="261" spans="1:7" ht="14.4">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4">
      <c r="A269" s="176"/>
      <c r="B269" s="176"/>
      <c r="D269" s="341"/>
      <c r="E269" s="342"/>
      <c r="F269" s="342"/>
    </row>
    <row r="270" spans="1:7" ht="13.2" customHeight="1">
      <c r="B270" s="468" t="s">
        <v>308</v>
      </c>
      <c r="D270" s="1286" t="s">
        <v>1217</v>
      </c>
      <c r="E270" s="1286"/>
      <c r="F270" s="1286"/>
    </row>
    <row r="271" spans="1:7" ht="14.4">
      <c r="A271" s="176"/>
      <c r="B271" s="176"/>
      <c r="D271" s="1286"/>
      <c r="E271" s="1286"/>
      <c r="F271" s="1286"/>
    </row>
    <row r="272" spans="1:7" ht="14.4">
      <c r="A272" s="176"/>
      <c r="B272" s="176"/>
      <c r="D272" s="1286"/>
      <c r="E272" s="1286"/>
      <c r="F272" s="1286"/>
    </row>
    <row r="273" spans="1:6" ht="14.4">
      <c r="A273" s="176"/>
      <c r="B273" s="176"/>
      <c r="D273" s="1286"/>
      <c r="E273" s="1286"/>
      <c r="F273" s="1286"/>
    </row>
    <row r="274" spans="1:6" ht="14.4">
      <c r="A274" s="176"/>
      <c r="B274" s="176"/>
      <c r="D274" s="1286"/>
      <c r="E274" s="1286"/>
      <c r="F274" s="1286"/>
    </row>
    <row r="275" spans="1:6" ht="14.4">
      <c r="A275" s="176"/>
      <c r="B275" s="176"/>
      <c r="D275" s="341"/>
      <c r="E275" s="342"/>
      <c r="F275" s="342"/>
    </row>
    <row r="276" spans="1:6" ht="13.2" customHeight="1">
      <c r="B276" s="468" t="s">
        <v>308</v>
      </c>
      <c r="D276" s="1286" t="s">
        <v>1218</v>
      </c>
      <c r="E276" s="1286"/>
      <c r="F276" s="1286"/>
    </row>
    <row r="277" spans="1:6">
      <c r="D277" s="1286"/>
      <c r="E277" s="1286"/>
      <c r="F277" s="1286"/>
    </row>
    <row r="278" spans="1:6" ht="14.4">
      <c r="A278" s="176"/>
      <c r="B278" s="176"/>
      <c r="D278" s="341"/>
      <c r="E278" s="342"/>
      <c r="F278" s="342"/>
    </row>
    <row r="279" spans="1:6">
      <c r="B279" s="468" t="s">
        <v>308</v>
      </c>
      <c r="D279" s="1277" t="s">
        <v>1219</v>
      </c>
      <c r="E279" s="1277"/>
      <c r="F279" s="1277"/>
    </row>
    <row r="280" spans="1:6">
      <c r="E280" s="35"/>
      <c r="F280" s="35"/>
    </row>
    <row r="281" spans="1:6" ht="14.4">
      <c r="A281" s="176"/>
      <c r="B281" s="468" t="s">
        <v>308</v>
      </c>
      <c r="D281" s="1266" t="s">
        <v>1220</v>
      </c>
      <c r="E281" s="1266"/>
      <c r="F281" s="1266"/>
    </row>
    <row r="282" spans="1:6" ht="14.4">
      <c r="A282" s="176"/>
      <c r="B282" s="176"/>
      <c r="D282" s="1266"/>
      <c r="E282" s="1266"/>
      <c r="F282" s="1266"/>
    </row>
    <row r="283" spans="1:6" ht="14.4">
      <c r="A283" s="176"/>
      <c r="B283" s="176"/>
      <c r="D283" s="1266"/>
      <c r="E283" s="1266"/>
      <c r="F283" s="1266"/>
    </row>
    <row r="284" spans="1:6" ht="14.4">
      <c r="A284" s="176"/>
      <c r="B284" s="176"/>
      <c r="D284" s="1266"/>
      <c r="E284" s="1266"/>
      <c r="F284" s="1266"/>
    </row>
    <row r="285" spans="1:6" ht="14.4">
      <c r="A285" s="176"/>
      <c r="B285" s="176"/>
      <c r="D285" s="1266"/>
      <c r="E285" s="1266"/>
      <c r="F285" s="1266"/>
    </row>
    <row r="286" spans="1:6" ht="14.4">
      <c r="A286" s="176"/>
      <c r="B286" s="176"/>
      <c r="D286" s="1266"/>
      <c r="E286" s="1266"/>
      <c r="F286" s="1266"/>
    </row>
    <row r="287" spans="1:6" ht="14.4">
      <c r="A287" s="176"/>
      <c r="B287" s="176"/>
      <c r="D287" s="1266"/>
      <c r="E287" s="1266"/>
      <c r="F287" s="1266"/>
    </row>
    <row r="288" spans="1:6" ht="14.4">
      <c r="A288" s="176"/>
      <c r="B288" s="176"/>
      <c r="D288" s="1266"/>
      <c r="E288" s="1266"/>
      <c r="F288" s="1266"/>
    </row>
    <row r="289" spans="1:6" ht="14.4">
      <c r="A289" s="176"/>
      <c r="B289" s="176"/>
      <c r="D289" s="1266"/>
      <c r="E289" s="1266"/>
      <c r="F289" s="1266"/>
    </row>
    <row r="290" spans="1:6" ht="14.4">
      <c r="A290" s="176"/>
      <c r="B290" s="176"/>
      <c r="D290" s="1266"/>
      <c r="E290" s="1266"/>
      <c r="F290" s="1266"/>
    </row>
    <row r="291" spans="1:6" ht="14.4">
      <c r="A291" s="176"/>
      <c r="B291" s="176"/>
      <c r="D291" s="1266"/>
      <c r="E291" s="1266"/>
      <c r="F291" s="1266"/>
    </row>
    <row r="292" spans="1:6" ht="14.4">
      <c r="A292" s="176"/>
      <c r="B292" s="176"/>
      <c r="D292" s="1266"/>
      <c r="E292" s="1266"/>
      <c r="F292" s="1266"/>
    </row>
    <row r="293" spans="1:6" ht="14.4">
      <c r="A293" s="176"/>
      <c r="B293" s="176"/>
      <c r="D293" s="1266"/>
      <c r="E293" s="1266"/>
      <c r="F293" s="1266"/>
    </row>
    <row r="294" spans="1:6" ht="14.4">
      <c r="A294" s="176"/>
      <c r="B294" s="176"/>
      <c r="D294" s="1266"/>
      <c r="E294" s="1266"/>
      <c r="F294" s="1266"/>
    </row>
    <row r="295" spans="1:6" ht="14.4">
      <c r="A295" s="176"/>
      <c r="B295" s="176"/>
      <c r="D295" s="1266"/>
      <c r="E295" s="1266"/>
      <c r="F295" s="1266"/>
    </row>
    <row r="296" spans="1:6">
      <c r="D296" s="35"/>
      <c r="E296" s="35"/>
      <c r="F296" s="35"/>
    </row>
    <row r="297" spans="1:6" ht="14.4">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4">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8" thickBot="1">
      <c r="D314" s="1289" t="s">
        <v>999</v>
      </c>
      <c r="E314" s="1289"/>
      <c r="F314" s="1289"/>
      <c r="G314"/>
    </row>
    <row r="315" spans="1:7" ht="13.8" thickTop="1">
      <c r="D315" s="1290" t="s">
        <v>1223</v>
      </c>
      <c r="E315" s="1290"/>
      <c r="F315" s="1290"/>
      <c r="G315"/>
    </row>
    <row r="316" spans="1:7">
      <c r="A316" s="218"/>
      <c r="B316" s="218"/>
      <c r="C316" s="218"/>
      <c r="D316" s="220"/>
      <c r="E316" s="220"/>
      <c r="F316" s="35"/>
      <c r="G316"/>
    </row>
    <row r="317" spans="1:7" ht="14.4">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4">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2"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4">
      <c r="A367" s="176"/>
      <c r="B367" s="468" t="s">
        <v>308</v>
      </c>
      <c r="C367" s="218"/>
      <c r="D367" s="1275" t="s">
        <v>1230</v>
      </c>
      <c r="E367" s="1275"/>
      <c r="F367" s="1275"/>
      <c r="G367"/>
    </row>
    <row r="368" spans="1:7" ht="14.4">
      <c r="A368" s="346"/>
      <c r="B368" s="346"/>
      <c r="C368" s="218"/>
      <c r="D368" s="1275"/>
      <c r="E368" s="1275"/>
      <c r="F368" s="1275"/>
      <c r="G368"/>
    </row>
    <row r="369" spans="1:7" ht="14.4">
      <c r="A369" s="346"/>
      <c r="B369" s="346"/>
      <c r="C369" s="218"/>
      <c r="D369" s="1275"/>
      <c r="E369" s="1275"/>
      <c r="F369" s="1275"/>
      <c r="G369"/>
    </row>
    <row r="370" spans="1:7" ht="14.4">
      <c r="A370" s="346"/>
      <c r="B370" s="346"/>
      <c r="C370" s="218"/>
      <c r="D370" s="1275"/>
      <c r="E370" s="1275"/>
      <c r="F370" s="1275"/>
      <c r="G370"/>
    </row>
    <row r="371" spans="1:7" ht="14.4">
      <c r="A371" s="346"/>
      <c r="B371" s="346"/>
      <c r="C371" s="218"/>
      <c r="D371" s="1275"/>
      <c r="E371" s="1275"/>
      <c r="F371" s="1275"/>
      <c r="G371"/>
    </row>
    <row r="372" spans="1:7">
      <c r="D372" s="35"/>
      <c r="E372" s="35"/>
      <c r="F372" s="35"/>
      <c r="G372"/>
    </row>
    <row r="373" spans="1:7" ht="14.4">
      <c r="A373" s="176"/>
      <c r="B373" s="468" t="s">
        <v>308</v>
      </c>
      <c r="C373" s="179"/>
      <c r="D373" s="1266" t="s">
        <v>1231</v>
      </c>
      <c r="E373" s="1266"/>
      <c r="F373" s="1266"/>
      <c r="G373"/>
    </row>
    <row r="374" spans="1:7" ht="14.4">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65" customHeight="1">
      <c r="D403" s="1266"/>
      <c r="E403" s="1266"/>
      <c r="F403" s="1266"/>
    </row>
    <row r="404" spans="1:7">
      <c r="D404" s="35"/>
      <c r="E404" s="35"/>
      <c r="F404" s="35"/>
    </row>
    <row r="405" spans="1:7" ht="14.4">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4">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4">
      <c r="B416" s="468" t="s">
        <v>308</v>
      </c>
      <c r="C416" s="176"/>
      <c r="D416" s="1266" t="s">
        <v>1235</v>
      </c>
      <c r="E416" s="1266"/>
      <c r="F416" s="1266"/>
      <c r="G416"/>
    </row>
    <row r="417" spans="1:7">
      <c r="D417" s="1266"/>
      <c r="E417" s="1266"/>
      <c r="F417" s="1266"/>
      <c r="G417"/>
    </row>
    <row r="418" spans="1:7">
      <c r="D418" s="35"/>
      <c r="E418" s="35"/>
      <c r="F418" s="35"/>
      <c r="G418"/>
    </row>
    <row r="419" spans="1:7" ht="14.4">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4">
      <c r="A445" s="176"/>
      <c r="B445" s="176"/>
      <c r="D445" s="1279" t="s">
        <v>1239</v>
      </c>
      <c r="E445" s="1279"/>
      <c r="F445" s="1279"/>
    </row>
    <row r="446" spans="1:7" ht="14.4">
      <c r="A446" s="176"/>
      <c r="B446" s="176"/>
      <c r="D446" s="481"/>
      <c r="E446" s="3"/>
      <c r="F446" s="3"/>
    </row>
    <row r="447" spans="1:7" ht="14.4">
      <c r="A447" s="176"/>
      <c r="B447" s="468" t="s">
        <v>308</v>
      </c>
      <c r="D447" s="1275" t="s">
        <v>1240</v>
      </c>
      <c r="E447" s="1275"/>
      <c r="F447" s="1275"/>
    </row>
    <row r="448" spans="1:7" ht="14.4">
      <c r="A448" s="176"/>
      <c r="B448" s="176"/>
      <c r="D448" s="1275"/>
      <c r="E448" s="1275"/>
      <c r="F448" s="1275"/>
    </row>
    <row r="449" spans="1:7" ht="14.4">
      <c r="A449" s="176"/>
      <c r="B449" s="176"/>
      <c r="D449" s="118"/>
      <c r="E449" s="3"/>
      <c r="F449" s="3"/>
    </row>
    <row r="450" spans="1:7">
      <c r="B450" s="468" t="s">
        <v>308</v>
      </c>
      <c r="D450" s="1280" t="s">
        <v>1241</v>
      </c>
      <c r="E450" s="1280"/>
      <c r="F450" s="1280"/>
    </row>
    <row r="451" spans="1:7" ht="14.4">
      <c r="A451" s="176"/>
      <c r="D451" s="1280"/>
      <c r="E451" s="1280"/>
      <c r="F451" s="1280"/>
    </row>
    <row r="452" spans="1:7" ht="14.4">
      <c r="A452" s="176"/>
      <c r="B452" s="176"/>
      <c r="D452" s="1280"/>
      <c r="E452" s="1280"/>
      <c r="F452" s="1280"/>
    </row>
    <row r="453" spans="1:7" ht="14.4">
      <c r="A453" s="176"/>
      <c r="B453" s="176"/>
      <c r="D453" s="1280"/>
      <c r="E453" s="1280"/>
      <c r="F453" s="1280"/>
    </row>
    <row r="454" spans="1:7">
      <c r="D454" s="3"/>
      <c r="E454" s="3"/>
      <c r="F454" s="3"/>
      <c r="G454"/>
    </row>
    <row r="455" spans="1:7" ht="14.4">
      <c r="A455" s="176"/>
      <c r="B455" s="468" t="s">
        <v>308</v>
      </c>
      <c r="D455" s="1266" t="s">
        <v>1242</v>
      </c>
      <c r="E455" s="1266"/>
      <c r="F455" s="1266"/>
      <c r="G455"/>
    </row>
    <row r="456" spans="1:7" ht="14.4">
      <c r="A456" s="176"/>
      <c r="B456" s="176"/>
      <c r="D456" s="1266"/>
      <c r="E456" s="1266"/>
      <c r="F456" s="1266"/>
      <c r="G456"/>
    </row>
    <row r="457" spans="1:7" ht="14.4">
      <c r="A457" s="176"/>
      <c r="D457" s="1266"/>
      <c r="E457" s="1266"/>
      <c r="F457" s="1266"/>
      <c r="G457"/>
    </row>
    <row r="458" spans="1:7" ht="14.4">
      <c r="A458" s="176"/>
      <c r="B458" s="176"/>
      <c r="D458" s="3"/>
      <c r="E458" s="3"/>
      <c r="F458" s="3"/>
      <c r="G458"/>
    </row>
    <row r="459" spans="1:7" ht="14.4">
      <c r="A459" s="176"/>
      <c r="B459" s="468" t="s">
        <v>308</v>
      </c>
      <c r="D459" s="1277" t="s">
        <v>1243</v>
      </c>
      <c r="E459" s="1277"/>
      <c r="F459" s="1277"/>
      <c r="G459"/>
    </row>
    <row r="460" spans="1:7" ht="14.4">
      <c r="A460" s="176"/>
      <c r="B460" s="176"/>
      <c r="D460" s="118"/>
      <c r="E460" s="3"/>
      <c r="F460" s="3"/>
      <c r="G460"/>
    </row>
    <row r="461" spans="1:7" ht="14.4">
      <c r="A461" s="176"/>
      <c r="B461" s="468" t="s">
        <v>308</v>
      </c>
      <c r="D461" s="1266" t="s">
        <v>1244</v>
      </c>
      <c r="E461" s="1266"/>
      <c r="F461" s="1266"/>
      <c r="G461"/>
    </row>
    <row r="462" spans="1:7" ht="14.4">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4">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2"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 customHeight="1">
      <c r="A485" s="175"/>
      <c r="B485" s="175"/>
      <c r="C485" s="175"/>
      <c r="D485" s="220"/>
      <c r="F485" s="35"/>
    </row>
    <row r="486" spans="1:6" ht="14.4"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2" customHeight="1">
      <c r="A519" s="176"/>
      <c r="B519" s="468" t="s">
        <v>308</v>
      </c>
      <c r="C519" s="179"/>
      <c r="D519" s="1277" t="s">
        <v>897</v>
      </c>
      <c r="E519" s="1277"/>
      <c r="F519" s="1277"/>
      <c r="G519"/>
    </row>
    <row r="520" spans="1:7" ht="13.2" customHeight="1">
      <c r="A520" s="179"/>
      <c r="B520" s="179"/>
      <c r="C520" s="179"/>
      <c r="D520" s="118"/>
      <c r="E520"/>
      <c r="F520"/>
      <c r="G520"/>
    </row>
    <row r="521" spans="1:7" ht="14.4">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4">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4">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4">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4">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4">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4">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4">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4">
      <c r="A546" s="176"/>
      <c r="B546" s="176"/>
      <c r="C546" s="179"/>
      <c r="E546" s="35"/>
      <c r="F546" s="35"/>
    </row>
    <row r="547" spans="1:7" ht="14.4">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4">
      <c r="A552" s="176"/>
      <c r="B552" s="468" t="s">
        <v>308</v>
      </c>
      <c r="C552" s="179"/>
      <c r="D552" s="1266" t="s">
        <v>1150</v>
      </c>
      <c r="E552" s="1266"/>
      <c r="F552" s="1266"/>
    </row>
    <row r="553" spans="1:7" ht="14.4">
      <c r="A553" s="176"/>
      <c r="B553" s="176"/>
      <c r="C553" s="179"/>
      <c r="D553" s="1266"/>
      <c r="E553" s="1266"/>
      <c r="F553" s="1266"/>
    </row>
    <row r="554" spans="1:7" ht="14.4">
      <c r="A554" s="176"/>
      <c r="B554" s="176"/>
      <c r="C554" s="179"/>
      <c r="D554" s="1266"/>
      <c r="E554" s="1266"/>
      <c r="F554" s="1266"/>
    </row>
    <row r="555" spans="1:7" ht="14.4">
      <c r="A555" s="176"/>
      <c r="B555" s="176"/>
      <c r="C555" s="179"/>
      <c r="D555" s="1266"/>
      <c r="E555" s="1266"/>
      <c r="F555" s="1266"/>
    </row>
    <row r="556" spans="1:7" ht="14.4">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4">
      <c r="A579" s="176"/>
      <c r="B579" s="468" t="s">
        <v>308</v>
      </c>
      <c r="D579" s="1280" t="s">
        <v>898</v>
      </c>
      <c r="E579" s="1280"/>
      <c r="F579" s="1280"/>
    </row>
    <row r="580" spans="1:7" ht="14.4">
      <c r="A580" s="176"/>
      <c r="B580" s="176"/>
      <c r="D580" s="255"/>
    </row>
    <row r="581" spans="1:7" ht="14.4">
      <c r="A581" s="176"/>
      <c r="B581" s="468" t="s">
        <v>308</v>
      </c>
      <c r="D581" s="1280" t="s">
        <v>1104</v>
      </c>
      <c r="E581" s="1280"/>
      <c r="F581" s="1280"/>
    </row>
    <row r="582" spans="1:7" ht="14.4">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4">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4">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4">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4">
      <c r="A628" s="176"/>
      <c r="B628" s="468" t="s">
        <v>308</v>
      </c>
      <c r="C628" s="179"/>
      <c r="D628" s="1293" t="s">
        <v>1195</v>
      </c>
      <c r="E628" s="1293"/>
      <c r="F628" s="1293"/>
    </row>
    <row r="629" spans="1:7" ht="14.4">
      <c r="A629" s="176"/>
      <c r="B629" s="176"/>
      <c r="C629" s="179"/>
      <c r="D629" s="1293"/>
      <c r="E629" s="1293"/>
      <c r="F629" s="1293"/>
    </row>
    <row r="630" spans="1:7" ht="14.4">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 customHeight="1">
      <c r="A640" s="176"/>
      <c r="B640" s="468" t="s">
        <v>308</v>
      </c>
      <c r="C640" s="179"/>
      <c r="D640" s="1266" t="s">
        <v>1248</v>
      </c>
      <c r="E640" s="1266"/>
      <c r="F640" s="1266"/>
    </row>
    <row r="641" spans="1:11" ht="14.4">
      <c r="A641" s="176"/>
      <c r="B641" s="176"/>
      <c r="C641" s="179"/>
      <c r="D641" s="1266"/>
      <c r="E641" s="1266"/>
      <c r="F641" s="1266"/>
    </row>
    <row r="642" spans="1:11" ht="14.4">
      <c r="A642" s="176"/>
      <c r="B642" s="176"/>
      <c r="C642" s="179"/>
      <c r="D642" s="1266"/>
      <c r="E642" s="1266"/>
      <c r="F642" s="1266"/>
    </row>
    <row r="643" spans="1:11" ht="14.4">
      <c r="A643" s="176"/>
      <c r="B643" s="176"/>
      <c r="C643" s="179"/>
      <c r="D643" s="1266"/>
      <c r="E643" s="1266"/>
      <c r="F643" s="1266"/>
    </row>
    <row r="644" spans="1:11" ht="14.4">
      <c r="A644" s="176"/>
      <c r="B644" s="176"/>
      <c r="C644" s="179"/>
      <c r="D644" s="1266"/>
      <c r="E644" s="1266"/>
      <c r="F644" s="1266"/>
    </row>
    <row r="645" spans="1:11" ht="14.4">
      <c r="A645" s="176"/>
      <c r="B645" s="176"/>
      <c r="C645" s="179"/>
      <c r="D645" s="474"/>
      <c r="E645" s="474"/>
      <c r="F645" s="474"/>
    </row>
    <row r="646" spans="1:11" ht="14.4">
      <c r="A646" s="176"/>
      <c r="B646" s="468" t="s">
        <v>308</v>
      </c>
      <c r="C646" s="179"/>
      <c r="D646" s="1305" t="s">
        <v>1098</v>
      </c>
      <c r="E646" s="1305"/>
      <c r="F646" s="1305"/>
    </row>
    <row r="647" spans="1:11" ht="14.4">
      <c r="A647" s="176"/>
      <c r="B647" s="176"/>
      <c r="C647" s="179"/>
      <c r="D647" s="1306" t="s">
        <v>1249</v>
      </c>
      <c r="E647" s="1306"/>
      <c r="F647" s="1306"/>
    </row>
    <row r="648" spans="1:11" ht="14.4">
      <c r="A648" s="176"/>
      <c r="B648" s="176"/>
      <c r="C648" s="179"/>
      <c r="D648" s="1306"/>
      <c r="E648" s="1306"/>
      <c r="F648" s="1306"/>
    </row>
    <row r="649" spans="1:11" ht="14.4">
      <c r="A649" s="176"/>
      <c r="B649" s="176"/>
      <c r="C649" s="179"/>
      <c r="D649" s="1306"/>
      <c r="E649" s="1306"/>
      <c r="F649" s="1306"/>
    </row>
    <row r="650" spans="1:11" ht="14.4">
      <c r="A650" s="176"/>
      <c r="B650" s="176"/>
      <c r="C650" s="179"/>
      <c r="D650" s="1306"/>
      <c r="E650" s="1306"/>
      <c r="F650" s="1306"/>
    </row>
    <row r="651" spans="1:11" ht="14.4">
      <c r="A651" s="176"/>
      <c r="B651" s="176"/>
      <c r="C651" s="179"/>
      <c r="D651" s="1306"/>
      <c r="E651" s="1306"/>
      <c r="F651" s="1306"/>
    </row>
    <row r="652" spans="1:11" ht="14.4">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4">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4">
      <c r="A669" s="176"/>
      <c r="B669" s="468" t="s">
        <v>308</v>
      </c>
      <c r="C669" s="175"/>
      <c r="D669" s="1277" t="s">
        <v>937</v>
      </c>
      <c r="E669" s="1277"/>
      <c r="F669" s="1277"/>
      <c r="H669" s="181"/>
      <c r="I669" s="181"/>
      <c r="J669" s="181"/>
      <c r="K669" s="181"/>
    </row>
    <row r="670" spans="1:11" ht="14.4">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4">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4">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4">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4">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4">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4">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4">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4">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2" t="s">
        <v>2358</v>
      </c>
      <c r="B73" s="1272"/>
      <c r="C73" s="1272"/>
      <c r="D73" s="1272"/>
      <c r="E73" s="1272"/>
    </row>
    <row r="74" spans="1:9" ht="13.2">
      <c r="A74" s="1272" t="s">
        <v>2359</v>
      </c>
      <c r="B74" s="1272"/>
      <c r="C74" s="1272"/>
      <c r="D74" s="1272"/>
      <c r="E74" s="1272"/>
    </row>
    <row r="75" spans="1:9" ht="13.2">
      <c r="A75" s="1272" t="s">
        <v>2061</v>
      </c>
      <c r="B75" s="1272"/>
      <c r="C75" s="1272"/>
      <c r="D75" s="1272"/>
      <c r="E75" s="1272"/>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471" workbookViewId="0">
      <selection activeCell="B531" sqref="B531"/>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65"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4">
      <c r="A15" s="518"/>
      <c r="B15" s="519" t="s">
        <v>2773</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4">
      <c r="A20" s="518"/>
      <c r="B20" s="519" t="s">
        <v>2773</v>
      </c>
      <c r="D20" s="1293" t="s">
        <v>2222</v>
      </c>
      <c r="E20" s="1293"/>
      <c r="F20" s="1293"/>
      <c r="I20" s="524" t="s">
        <v>2073</v>
      </c>
    </row>
    <row r="21" spans="1:9" ht="14.4">
      <c r="A21" s="518"/>
      <c r="D21" s="1293"/>
      <c r="E21" s="1293"/>
      <c r="F21" s="1293"/>
      <c r="I21" s="524"/>
    </row>
    <row r="22" spans="1:9" ht="14.4">
      <c r="A22" s="518"/>
      <c r="D22" s="423"/>
      <c r="E22" s="96" t="s">
        <v>2218</v>
      </c>
      <c r="F22" s="423"/>
      <c r="I22" s="524"/>
    </row>
    <row r="23" spans="1:9" ht="14.4">
      <c r="A23" s="518"/>
      <c r="B23" s="518"/>
      <c r="D23" s="480"/>
      <c r="I23" s="524"/>
    </row>
    <row r="24" spans="1:9" ht="14.4">
      <c r="A24" s="518"/>
      <c r="B24" s="519" t="s">
        <v>2774</v>
      </c>
      <c r="D24" s="1293" t="s">
        <v>1154</v>
      </c>
      <c r="E24" s="1293"/>
      <c r="F24" s="1293"/>
      <c r="I24" s="524" t="s">
        <v>2073</v>
      </c>
    </row>
    <row r="25" spans="1:9" ht="14.4">
      <c r="A25" s="518"/>
      <c r="B25" s="518"/>
      <c r="D25" s="1293"/>
      <c r="E25" s="1293"/>
      <c r="F25" s="1293"/>
      <c r="I25" s="524"/>
    </row>
    <row r="26" spans="1:9">
      <c r="I26" s="524"/>
    </row>
    <row r="27" spans="1:9" ht="14.4">
      <c r="A27" s="518"/>
      <c r="B27" s="519" t="s">
        <v>2774</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308</v>
      </c>
      <c r="D33" s="1293" t="s">
        <v>2362</v>
      </c>
      <c r="E33" s="1293"/>
      <c r="F33" s="1293"/>
      <c r="I33" s="524" t="s">
        <v>2072</v>
      </c>
    </row>
    <row r="34" spans="1:9">
      <c r="D34" s="1293"/>
      <c r="E34" s="1293"/>
      <c r="F34" s="1293"/>
      <c r="I34" s="524"/>
    </row>
    <row r="35" spans="1:9" ht="14.4">
      <c r="A35" s="518"/>
      <c r="B35" s="518"/>
      <c r="D35" s="481"/>
      <c r="I35" s="524"/>
    </row>
    <row r="36" spans="1:9" ht="14.4" customHeight="1">
      <c r="A36" s="518"/>
      <c r="B36" s="519" t="s">
        <v>308</v>
      </c>
      <c r="D36" s="1293" t="s">
        <v>1321</v>
      </c>
      <c r="E36" s="1293"/>
      <c r="F36" s="1293"/>
      <c r="I36" s="524" t="s">
        <v>2143</v>
      </c>
    </row>
    <row r="37" spans="1:9" ht="14.4">
      <c r="A37" s="518"/>
      <c r="B37" s="518"/>
      <c r="D37" s="1293"/>
      <c r="E37" s="1293"/>
      <c r="F37" s="1293"/>
      <c r="I37" s="524"/>
    </row>
    <row r="38" spans="1:9" ht="14.4">
      <c r="A38" s="518"/>
      <c r="B38" s="518"/>
      <c r="D38" s="1293"/>
      <c r="E38" s="1293"/>
      <c r="F38" s="1293"/>
      <c r="I38" s="524"/>
    </row>
    <row r="39" spans="1:9" ht="14.4">
      <c r="A39" s="518"/>
      <c r="B39" s="518"/>
      <c r="D39" s="1293"/>
      <c r="E39" s="1293"/>
      <c r="F39" s="1293"/>
      <c r="I39" s="524"/>
    </row>
    <row r="40" spans="1:9" ht="14.4">
      <c r="A40" s="518"/>
      <c r="B40" s="518"/>
      <c r="I40" s="524"/>
    </row>
    <row r="41" spans="1:9" ht="14.4">
      <c r="A41" s="518"/>
      <c r="B41" s="519" t="s">
        <v>308</v>
      </c>
      <c r="D41" s="1293" t="s">
        <v>1158</v>
      </c>
      <c r="E41" s="1293"/>
      <c r="F41" s="1293"/>
      <c r="I41" s="524"/>
    </row>
    <row r="42" spans="1:9" ht="14.4">
      <c r="A42" s="518"/>
      <c r="B42" s="518"/>
      <c r="D42" s="1293"/>
      <c r="E42" s="1293"/>
      <c r="F42" s="1293"/>
      <c r="I42" s="524"/>
    </row>
    <row r="43" spans="1:9" ht="14.4">
      <c r="A43" s="518"/>
      <c r="B43" s="518"/>
      <c r="D43" s="1293"/>
      <c r="E43" s="1293"/>
      <c r="F43" s="1293"/>
      <c r="I43" s="524"/>
    </row>
    <row r="44" spans="1:9" ht="14.4">
      <c r="A44" s="518"/>
      <c r="B44" s="518"/>
      <c r="D44" s="1293"/>
      <c r="E44" s="1293"/>
      <c r="F44" s="1293"/>
      <c r="I44" s="524"/>
    </row>
    <row r="45" spans="1:9" ht="14.4">
      <c r="A45" s="518"/>
      <c r="B45" s="518"/>
      <c r="D45" s="1293"/>
      <c r="E45" s="1293"/>
      <c r="F45" s="1293"/>
      <c r="I45" s="524"/>
    </row>
    <row r="46" spans="1:9" ht="14.4">
      <c r="A46" s="518"/>
      <c r="B46" s="518"/>
      <c r="D46" s="479"/>
      <c r="E46" s="479"/>
      <c r="F46" s="479"/>
      <c r="I46" s="524"/>
    </row>
    <row r="47" spans="1:9" ht="14.4">
      <c r="A47" s="518"/>
      <c r="B47" s="519" t="s">
        <v>2773</v>
      </c>
      <c r="D47" s="1293" t="s">
        <v>1159</v>
      </c>
      <c r="E47" s="1293"/>
      <c r="F47" s="1293"/>
      <c r="I47" s="524" t="s">
        <v>2143</v>
      </c>
    </row>
    <row r="48" spans="1:9" ht="14.4">
      <c r="A48" s="518"/>
      <c r="B48" s="518"/>
      <c r="D48" s="1293"/>
      <c r="E48" s="1293"/>
      <c r="F48" s="1293"/>
      <c r="I48" s="524"/>
    </row>
    <row r="49" spans="1:9" ht="14.4">
      <c r="A49" s="518"/>
      <c r="B49" s="518"/>
      <c r="D49" s="1293"/>
      <c r="E49" s="1293"/>
      <c r="F49" s="1293"/>
      <c r="I49" s="524"/>
    </row>
    <row r="50" spans="1:9" ht="23.25" customHeight="1">
      <c r="A50" s="518"/>
      <c r="B50" s="518"/>
      <c r="D50" s="1293"/>
      <c r="E50" s="1293"/>
      <c r="F50" s="1293"/>
      <c r="I50" s="524"/>
    </row>
    <row r="51" spans="1:9" ht="14.4">
      <c r="A51" s="518"/>
      <c r="B51" s="518"/>
      <c r="D51" s="480"/>
      <c r="I51" s="524"/>
    </row>
    <row r="52" spans="1:9" ht="14.4" customHeight="1">
      <c r="A52" s="518"/>
      <c r="B52" s="519" t="s">
        <v>308</v>
      </c>
      <c r="D52" s="1293" t="s">
        <v>1160</v>
      </c>
      <c r="E52" s="1293"/>
      <c r="F52" s="1293"/>
      <c r="I52" s="524" t="s">
        <v>2143</v>
      </c>
    </row>
    <row r="53" spans="1:9" ht="14.4">
      <c r="A53" s="518"/>
      <c r="B53" s="518"/>
      <c r="D53" s="1293"/>
      <c r="E53" s="1293"/>
      <c r="F53" s="1293"/>
      <c r="I53" s="524"/>
    </row>
    <row r="54" spans="1:9" ht="14.4">
      <c r="A54" s="518"/>
      <c r="B54" s="518"/>
      <c r="D54" s="1293"/>
      <c r="E54" s="1293"/>
      <c r="F54" s="1293"/>
      <c r="I54" s="524"/>
    </row>
    <row r="55" spans="1:9" ht="14.4">
      <c r="A55" s="518"/>
      <c r="B55" s="518"/>
      <c r="I55" s="524"/>
    </row>
    <row r="56" spans="1:9" ht="14.4">
      <c r="A56" s="518"/>
      <c r="B56" s="519" t="s">
        <v>308</v>
      </c>
      <c r="D56" s="1342" t="s">
        <v>1161</v>
      </c>
      <c r="E56" s="1342"/>
      <c r="F56" s="1342"/>
      <c r="I56" s="524"/>
    </row>
    <row r="57" spans="1:9" ht="14.4">
      <c r="A57" s="518"/>
      <c r="B57" s="518"/>
      <c r="D57" s="1342"/>
      <c r="E57" s="1342"/>
      <c r="F57" s="1342"/>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308</v>
      </c>
      <c r="D61" s="1293" t="s">
        <v>1162</v>
      </c>
      <c r="E61" s="1293"/>
      <c r="F61" s="1293"/>
      <c r="I61" s="524" t="s">
        <v>2074</v>
      </c>
    </row>
    <row r="62" spans="1:9">
      <c r="D62" s="1293"/>
      <c r="E62" s="1293"/>
      <c r="F62" s="1293"/>
      <c r="I62" s="524"/>
    </row>
    <row r="63" spans="1:9">
      <c r="D63" s="1293"/>
      <c r="E63" s="1293"/>
      <c r="F63" s="1293"/>
      <c r="I63" s="524"/>
    </row>
    <row r="64" spans="1:9">
      <c r="I64" s="524"/>
    </row>
    <row r="65" spans="1:9" ht="14.4">
      <c r="A65" s="518"/>
      <c r="B65" s="519" t="s">
        <v>308</v>
      </c>
      <c r="D65" s="1293" t="s">
        <v>1163</v>
      </c>
      <c r="E65" s="1293"/>
      <c r="F65" s="1293"/>
      <c r="I65" s="524" t="s">
        <v>2075</v>
      </c>
    </row>
    <row r="66" spans="1:9">
      <c r="D66" s="1293"/>
      <c r="E66" s="1293"/>
      <c r="F66" s="1293"/>
      <c r="I66" s="524"/>
    </row>
    <row r="67" spans="1:9">
      <c r="I67" s="524"/>
    </row>
    <row r="68" spans="1:9" ht="14.4">
      <c r="A68" s="518"/>
      <c r="B68" s="519" t="s">
        <v>308</v>
      </c>
      <c r="D68" s="1293" t="s">
        <v>1164</v>
      </c>
      <c r="E68" s="1293"/>
      <c r="F68" s="1293"/>
      <c r="I68" s="524"/>
    </row>
    <row r="69" spans="1:9">
      <c r="D69" s="1293"/>
      <c r="E69" s="1293"/>
      <c r="F69" s="1293"/>
      <c r="I69" s="524" t="s">
        <v>2076</v>
      </c>
    </row>
    <row r="70" spans="1:9">
      <c r="D70" s="1293"/>
      <c r="E70" s="1293"/>
      <c r="F70" s="1293"/>
      <c r="I70" s="524"/>
    </row>
    <row r="71" spans="1:9">
      <c r="I71" s="524"/>
    </row>
    <row r="72" spans="1:9" ht="14.4">
      <c r="A72" s="518"/>
      <c r="B72" s="519" t="s">
        <v>308</v>
      </c>
      <c r="D72" s="1293" t="s">
        <v>1165</v>
      </c>
      <c r="E72" s="1293"/>
      <c r="F72" s="1293"/>
      <c r="I72" s="524" t="s">
        <v>2076</v>
      </c>
    </row>
    <row r="73" spans="1:9">
      <c r="D73" s="1293"/>
      <c r="E73" s="1293"/>
      <c r="F73" s="1293"/>
      <c r="I73" s="524"/>
    </row>
    <row r="74" spans="1:9" ht="14.4">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65" customHeight="1">
      <c r="A80" s="518"/>
      <c r="B80" s="519" t="s">
        <v>2773</v>
      </c>
      <c r="D80" s="1293" t="s">
        <v>1354</v>
      </c>
      <c r="E80" s="1293"/>
      <c r="F80" s="1293"/>
      <c r="I80" s="524" t="s">
        <v>2077</v>
      </c>
    </row>
    <row r="81" spans="1:9" ht="14.4">
      <c r="A81" s="518"/>
      <c r="B81" s="518"/>
      <c r="D81" s="1293"/>
      <c r="E81" s="1293"/>
      <c r="F81" s="1293"/>
      <c r="I81" s="524"/>
    </row>
    <row r="82" spans="1:9" ht="14.4">
      <c r="A82" s="518"/>
      <c r="B82" s="518"/>
      <c r="D82" s="1293"/>
      <c r="E82" s="1293"/>
      <c r="F82" s="1293"/>
      <c r="I82" s="524"/>
    </row>
    <row r="83" spans="1:9" ht="14.4">
      <c r="A83" s="518"/>
      <c r="B83" s="518"/>
      <c r="D83" s="1293"/>
      <c r="E83" s="1293"/>
      <c r="F83" s="1293"/>
      <c r="I83" s="524"/>
    </row>
    <row r="84" spans="1:9" ht="14.4">
      <c r="A84" s="518"/>
      <c r="B84" s="518"/>
      <c r="D84" s="1293"/>
      <c r="E84" s="1293"/>
      <c r="F84" s="1293"/>
      <c r="I84" s="524"/>
    </row>
    <row r="85" spans="1:9" ht="14.4">
      <c r="A85" s="518"/>
      <c r="B85" s="518"/>
      <c r="D85" s="1293"/>
      <c r="E85" s="1293"/>
      <c r="F85" s="1293"/>
      <c r="I85" s="524"/>
    </row>
    <row r="86" spans="1:9" ht="14.4">
      <c r="A86" s="518"/>
      <c r="B86" s="518"/>
      <c r="D86" s="1293"/>
      <c r="E86" s="1293"/>
      <c r="F86" s="1293"/>
      <c r="I86" s="524"/>
    </row>
    <row r="87" spans="1:9" ht="14.4">
      <c r="A87" s="518"/>
      <c r="B87" s="518"/>
      <c r="D87" s="1293"/>
      <c r="E87" s="1293"/>
      <c r="F87" s="1293"/>
      <c r="I87" s="524"/>
    </row>
    <row r="88" spans="1:9" ht="14.4">
      <c r="A88" s="518"/>
      <c r="B88" s="518"/>
      <c r="D88" s="416"/>
      <c r="E88" s="416"/>
      <c r="F88" s="416"/>
      <c r="I88" s="524"/>
    </row>
    <row r="89" spans="1:9" ht="15" customHeight="1">
      <c r="A89" s="518"/>
      <c r="B89" s="519" t="s">
        <v>2773</v>
      </c>
      <c r="D89" s="1293" t="s">
        <v>1931</v>
      </c>
      <c r="E89" s="1293"/>
      <c r="F89" s="1293"/>
      <c r="I89" s="524" t="s">
        <v>2078</v>
      </c>
    </row>
    <row r="90" spans="1:9" ht="14.4">
      <c r="A90" s="518"/>
      <c r="B90" s="518"/>
      <c r="D90" s="1293"/>
      <c r="E90" s="1293"/>
      <c r="F90" s="1293"/>
      <c r="I90" s="524"/>
    </row>
    <row r="91" spans="1:9" ht="14.4">
      <c r="A91" s="518"/>
      <c r="B91" s="518"/>
      <c r="D91" s="479"/>
      <c r="E91" s="479"/>
      <c r="F91" s="479"/>
      <c r="I91" s="524"/>
    </row>
    <row r="92" spans="1:9" ht="14.4">
      <c r="A92" s="518"/>
      <c r="B92" s="519" t="s">
        <v>308</v>
      </c>
      <c r="D92" s="1293" t="s">
        <v>1934</v>
      </c>
      <c r="E92" s="1293"/>
      <c r="F92" s="1293"/>
      <c r="I92" s="524" t="s">
        <v>2079</v>
      </c>
    </row>
    <row r="93" spans="1:9" ht="14.4">
      <c r="A93" s="518"/>
      <c r="B93" s="518"/>
      <c r="D93" s="1293"/>
      <c r="E93" s="1293"/>
      <c r="F93" s="1293"/>
      <c r="I93" s="524"/>
    </row>
    <row r="94" spans="1:9" ht="14.4">
      <c r="A94" s="518"/>
      <c r="B94" s="518"/>
      <c r="D94" s="1293"/>
      <c r="E94" s="1293"/>
      <c r="F94" s="1293"/>
      <c r="I94" s="524"/>
    </row>
    <row r="95" spans="1:9" ht="14.4">
      <c r="A95" s="518"/>
      <c r="B95" s="518"/>
      <c r="D95" s="479"/>
      <c r="E95" s="479"/>
      <c r="F95" s="479"/>
      <c r="I95" s="524"/>
    </row>
    <row r="96" spans="1:9" ht="14.4">
      <c r="A96" s="518"/>
      <c r="B96" s="519" t="s">
        <v>2773</v>
      </c>
      <c r="D96" s="1293" t="s">
        <v>1933</v>
      </c>
      <c r="E96" s="1293"/>
      <c r="F96" s="1293"/>
      <c r="I96" s="524" t="s">
        <v>2124</v>
      </c>
    </row>
    <row r="97" spans="1:9" s="1022" customFormat="1" ht="14.4">
      <c r="A97" s="1020"/>
      <c r="B97" s="1020"/>
      <c r="C97" s="1021"/>
      <c r="D97" s="1293"/>
      <c r="E97" s="1293"/>
      <c r="F97" s="1293"/>
      <c r="I97" s="1257"/>
    </row>
    <row r="98" spans="1:9" ht="14.4">
      <c r="A98" s="518"/>
      <c r="B98" s="518"/>
      <c r="D98" s="423"/>
      <c r="E98" s="336" t="s">
        <v>2223</v>
      </c>
      <c r="F98" s="479"/>
      <c r="I98" s="524"/>
    </row>
    <row r="99" spans="1:9" ht="14.4">
      <c r="A99" s="518"/>
      <c r="B99" s="518"/>
      <c r="D99" s="416"/>
      <c r="E99" s="416"/>
      <c r="F99" s="416"/>
      <c r="I99" s="524"/>
    </row>
    <row r="100" spans="1:9" ht="14.4">
      <c r="A100" s="518"/>
      <c r="B100" s="519" t="s">
        <v>2774</v>
      </c>
      <c r="D100" s="1293" t="s">
        <v>1932</v>
      </c>
      <c r="E100" s="1293"/>
      <c r="F100" s="1293"/>
      <c r="I100" s="524" t="s">
        <v>2080</v>
      </c>
    </row>
    <row r="101" spans="1:9" ht="14.4">
      <c r="A101" s="518"/>
      <c r="B101" s="518"/>
      <c r="D101" s="1293"/>
      <c r="E101" s="1293"/>
      <c r="F101" s="1293"/>
      <c r="I101" s="524"/>
    </row>
    <row r="102" spans="1:9" ht="14.4">
      <c r="A102" s="518"/>
      <c r="B102" s="518"/>
      <c r="D102" s="479"/>
      <c r="E102" s="479"/>
      <c r="F102" s="479"/>
      <c r="I102" s="524"/>
    </row>
    <row r="103" spans="1:9" ht="14.4" customHeight="1">
      <c r="A103" s="518"/>
      <c r="B103" s="519" t="s">
        <v>2774</v>
      </c>
      <c r="D103" s="1293" t="s">
        <v>1301</v>
      </c>
      <c r="E103" s="1293"/>
      <c r="F103" s="1293"/>
      <c r="I103" s="524" t="s">
        <v>2081</v>
      </c>
    </row>
    <row r="104" spans="1:9" ht="14.4">
      <c r="A104" s="518"/>
      <c r="B104" s="518"/>
      <c r="D104" s="1293"/>
      <c r="E104" s="1293"/>
      <c r="F104" s="1293"/>
      <c r="I104" s="524"/>
    </row>
    <row r="105" spans="1:9" ht="14.4">
      <c r="A105" s="518"/>
      <c r="B105" s="518"/>
      <c r="D105" s="1293"/>
      <c r="E105" s="1293"/>
      <c r="F105" s="1293"/>
      <c r="I105" s="524"/>
    </row>
    <row r="106" spans="1:9" ht="14.4">
      <c r="A106" s="518"/>
      <c r="B106" s="518"/>
      <c r="D106" s="1293"/>
      <c r="E106" s="1293"/>
      <c r="F106" s="1293"/>
      <c r="I106" s="524"/>
    </row>
    <row r="107" spans="1:9" ht="14.4">
      <c r="A107" s="518"/>
      <c r="B107" s="518"/>
      <c r="D107" s="1293"/>
      <c r="E107" s="1293"/>
      <c r="F107" s="1293"/>
      <c r="I107" s="524"/>
    </row>
    <row r="108" spans="1:9" ht="14.4">
      <c r="A108" s="518"/>
      <c r="B108" s="518"/>
      <c r="D108" s="1293"/>
      <c r="E108" s="1293"/>
      <c r="F108" s="1293"/>
      <c r="I108" s="524"/>
    </row>
    <row r="109" spans="1:9" ht="14.4">
      <c r="A109" s="518"/>
      <c r="B109" s="518"/>
      <c r="D109" s="1293"/>
      <c r="E109" s="1293"/>
      <c r="F109" s="1293"/>
      <c r="I109" s="524"/>
    </row>
    <row r="110" spans="1:9" ht="14.4">
      <c r="A110" s="518"/>
      <c r="B110" s="518"/>
      <c r="D110" s="1293"/>
      <c r="E110" s="1293"/>
      <c r="F110" s="1293"/>
      <c r="I110" s="524"/>
    </row>
    <row r="111" spans="1:9" ht="14.4">
      <c r="A111" s="518"/>
      <c r="B111" s="518"/>
      <c r="D111" s="1293"/>
      <c r="E111" s="1293"/>
      <c r="F111" s="1293"/>
      <c r="I111" s="524"/>
    </row>
    <row r="112" spans="1:9" ht="14.4">
      <c r="A112" s="518"/>
      <c r="B112" s="518"/>
      <c r="D112" s="1293"/>
      <c r="E112" s="1293"/>
      <c r="F112" s="1293"/>
      <c r="I112" s="524"/>
    </row>
    <row r="113" spans="1:9" ht="14.4">
      <c r="A113" s="518"/>
      <c r="B113" s="518"/>
      <c r="D113" s="1293"/>
      <c r="E113" s="1293"/>
      <c r="F113" s="1293"/>
      <c r="I113" s="524"/>
    </row>
    <row r="114" spans="1:9" ht="14.4">
      <c r="A114" s="518"/>
      <c r="B114" s="518"/>
      <c r="D114" s="1293"/>
      <c r="E114" s="1293"/>
      <c r="F114" s="1293"/>
      <c r="I114" s="524"/>
    </row>
    <row r="115" spans="1:9" ht="14.4">
      <c r="A115" s="518"/>
      <c r="B115" s="518"/>
      <c r="D115" s="1293"/>
      <c r="E115" s="1293"/>
      <c r="F115" s="1293"/>
      <c r="I115" s="524"/>
    </row>
    <row r="116" spans="1:9" ht="14.4">
      <c r="A116" s="518"/>
      <c r="B116" s="518"/>
      <c r="D116" s="1293"/>
      <c r="E116" s="1293"/>
      <c r="F116" s="1293"/>
      <c r="I116" s="524"/>
    </row>
    <row r="117" spans="1:9" ht="14.4">
      <c r="A117" s="518"/>
      <c r="B117" s="518"/>
      <c r="D117" s="1293"/>
      <c r="E117" s="1293"/>
      <c r="F117" s="1293"/>
      <c r="I117" s="524"/>
    </row>
    <row r="118" spans="1:9" ht="14.4">
      <c r="A118" s="518"/>
      <c r="B118" s="518"/>
      <c r="D118" s="558"/>
      <c r="E118" s="558"/>
      <c r="F118" s="558"/>
      <c r="I118" s="524"/>
    </row>
    <row r="119" spans="1:9" ht="14.25" customHeight="1">
      <c r="A119" s="518"/>
      <c r="B119" s="519" t="s">
        <v>2774</v>
      </c>
      <c r="D119" s="1304" t="s">
        <v>1172</v>
      </c>
      <c r="E119" s="1304"/>
      <c r="F119" s="1304"/>
      <c r="I119" s="524"/>
    </row>
    <row r="120" spans="1:9" ht="14.4">
      <c r="A120" s="518"/>
      <c r="B120" s="518"/>
      <c r="D120" s="1304"/>
      <c r="E120" s="1304"/>
      <c r="F120" s="1304"/>
      <c r="I120" s="524"/>
    </row>
    <row r="121" spans="1:9" ht="14.4">
      <c r="A121" s="518"/>
      <c r="B121" s="518"/>
      <c r="D121" s="1304"/>
      <c r="E121" s="1304"/>
      <c r="F121" s="1304"/>
      <c r="I121" s="524"/>
    </row>
    <row r="122" spans="1:9" ht="14.4">
      <c r="A122" s="518"/>
      <c r="B122" s="518"/>
      <c r="D122" s="1304"/>
      <c r="E122" s="1304"/>
      <c r="F122" s="1304"/>
      <c r="I122" s="524"/>
    </row>
    <row r="123" spans="1:9" ht="14.4">
      <c r="A123" s="518"/>
      <c r="B123" s="518"/>
      <c r="D123" s="1304"/>
      <c r="E123" s="1304"/>
      <c r="F123" s="1304"/>
      <c r="I123" s="524"/>
    </row>
    <row r="124" spans="1:9" ht="14.4">
      <c r="A124" s="518"/>
      <c r="B124" s="518"/>
      <c r="D124" s="1304"/>
      <c r="E124" s="1304"/>
      <c r="F124" s="1304"/>
      <c r="I124" s="524"/>
    </row>
    <row r="125" spans="1:9" ht="14.4">
      <c r="A125" s="518"/>
      <c r="B125" s="518"/>
      <c r="D125" s="1304"/>
      <c r="E125" s="1304"/>
      <c r="F125" s="1304"/>
      <c r="I125" s="524"/>
    </row>
    <row r="126" spans="1:9" ht="14.4">
      <c r="A126" s="518"/>
      <c r="B126" s="518"/>
      <c r="D126" s="1304"/>
      <c r="E126" s="1304"/>
      <c r="F126" s="1304"/>
      <c r="I126" s="524"/>
    </row>
    <row r="127" spans="1:9">
      <c r="C127" s="433"/>
      <c r="D127" s="559"/>
      <c r="E127" s="559"/>
      <c r="F127" s="559"/>
      <c r="I127" s="524"/>
    </row>
    <row r="128" spans="1:9" ht="14.4">
      <c r="A128" s="518"/>
      <c r="B128" s="519" t="s">
        <v>2774</v>
      </c>
      <c r="C128" s="433"/>
      <c r="D128" s="1304" t="s">
        <v>2363</v>
      </c>
      <c r="E128" s="1304"/>
      <c r="F128" s="1304"/>
      <c r="I128" s="524" t="s">
        <v>2082</v>
      </c>
    </row>
    <row r="129" spans="1:9" ht="14.4">
      <c r="A129" s="518"/>
      <c r="B129" s="518"/>
      <c r="C129" s="433"/>
      <c r="D129" s="1304"/>
      <c r="E129" s="1304"/>
      <c r="F129" s="1304"/>
      <c r="I129" s="524"/>
    </row>
    <row r="130" spans="1:9">
      <c r="I130" s="524"/>
    </row>
    <row r="131" spans="1:9" ht="14.4">
      <c r="A131" s="518"/>
      <c r="B131" s="519" t="s">
        <v>2773</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4">
      <c r="A137" s="518"/>
      <c r="B137" s="519" t="s">
        <v>2773</v>
      </c>
      <c r="D137" s="1293" t="s">
        <v>1176</v>
      </c>
      <c r="E137" s="1293"/>
      <c r="F137" s="1293"/>
      <c r="I137" s="524" t="s">
        <v>2083</v>
      </c>
    </row>
    <row r="138" spans="1:9" s="448" customFormat="1" ht="13.65" customHeight="1">
      <c r="A138" s="522"/>
      <c r="B138" s="522"/>
      <c r="C138" s="522"/>
      <c r="D138" s="1293"/>
      <c r="E138" s="1293"/>
      <c r="F138" s="1293"/>
      <c r="I138" s="1258"/>
    </row>
    <row r="139" spans="1:9" ht="13.65" customHeight="1">
      <c r="D139" s="1293"/>
      <c r="E139" s="1293"/>
      <c r="F139" s="1293"/>
      <c r="I139" s="524"/>
    </row>
    <row r="140" spans="1:9" ht="13.65" customHeight="1">
      <c r="D140" s="1293"/>
      <c r="E140" s="1293"/>
      <c r="F140" s="1293"/>
      <c r="I140" s="524"/>
    </row>
    <row r="141" spans="1:9" ht="13.65" customHeight="1">
      <c r="D141" s="1293"/>
      <c r="E141" s="1293"/>
      <c r="F141" s="1293"/>
      <c r="I141" s="524"/>
    </row>
    <row r="142" spans="1:9" ht="13.65" customHeight="1">
      <c r="A142" s="523"/>
      <c r="B142" s="523"/>
      <c r="D142" s="1293"/>
      <c r="E142" s="1293"/>
      <c r="F142" s="1293"/>
      <c r="I142" s="524"/>
    </row>
    <row r="143" spans="1:9" ht="13.65" customHeight="1">
      <c r="D143" s="1293"/>
      <c r="E143" s="1293"/>
      <c r="F143" s="1293"/>
      <c r="I143" s="524"/>
    </row>
    <row r="144" spans="1:9" ht="13.65" customHeight="1">
      <c r="D144" s="1293"/>
      <c r="E144" s="1293"/>
      <c r="F144" s="1293"/>
      <c r="I144" s="524"/>
    </row>
    <row r="145" spans="2:9" ht="13.65" customHeight="1">
      <c r="D145" s="1293"/>
      <c r="E145" s="1293"/>
      <c r="F145" s="1293"/>
      <c r="I145" s="524"/>
    </row>
    <row r="146" spans="2:9" ht="13.65" customHeight="1">
      <c r="D146" s="1293"/>
      <c r="E146" s="1293"/>
      <c r="F146" s="1293"/>
      <c r="I146" s="524"/>
    </row>
    <row r="147" spans="2:9" ht="13.65" customHeight="1">
      <c r="D147" s="1293"/>
      <c r="E147" s="1293"/>
      <c r="F147" s="1293"/>
      <c r="I147" s="524"/>
    </row>
    <row r="148" spans="2:9" ht="13.65" customHeight="1">
      <c r="D148" s="1293"/>
      <c r="E148" s="1293"/>
      <c r="F148" s="1293"/>
      <c r="I148" s="524"/>
    </row>
    <row r="149" spans="2:9" ht="13.65" customHeight="1">
      <c r="D149" s="1293"/>
      <c r="E149" s="1293"/>
      <c r="F149" s="1293"/>
      <c r="I149" s="524"/>
    </row>
    <row r="150" spans="2:9" ht="13.65" customHeight="1">
      <c r="D150" s="510"/>
      <c r="E150" s="480"/>
      <c r="F150" s="480"/>
      <c r="I150" s="524"/>
    </row>
    <row r="151" spans="2:9" ht="13.65" customHeight="1">
      <c r="B151" s="519" t="s">
        <v>2774</v>
      </c>
      <c r="D151" s="1293" t="s">
        <v>1284</v>
      </c>
      <c r="E151" s="1293"/>
      <c r="F151" s="1293"/>
      <c r="I151" s="524" t="s">
        <v>2084</v>
      </c>
    </row>
    <row r="152" spans="2:9" ht="13.65" customHeight="1">
      <c r="D152" s="1293"/>
      <c r="E152" s="1293"/>
      <c r="F152" s="1293"/>
      <c r="I152" s="524"/>
    </row>
    <row r="153" spans="2:9" ht="13.65" customHeight="1">
      <c r="D153" s="1293"/>
      <c r="E153" s="1293"/>
      <c r="F153" s="1293"/>
      <c r="I153" s="524"/>
    </row>
    <row r="154" spans="2:9" ht="13.65" customHeight="1">
      <c r="D154" s="1293"/>
      <c r="E154" s="1293"/>
      <c r="F154" s="1293"/>
      <c r="I154" s="524"/>
    </row>
    <row r="155" spans="2:9" ht="13.65" customHeight="1">
      <c r="D155" s="1293"/>
      <c r="E155" s="1293"/>
      <c r="F155" s="1293"/>
      <c r="I155" s="524"/>
    </row>
    <row r="156" spans="2:9" ht="13.65" customHeight="1">
      <c r="D156" s="1293"/>
      <c r="E156" s="1293"/>
      <c r="F156" s="1293"/>
      <c r="I156" s="524"/>
    </row>
    <row r="157" spans="2:9" ht="13.65" customHeight="1">
      <c r="D157" s="1293"/>
      <c r="E157" s="1293"/>
      <c r="F157" s="1293"/>
      <c r="I157" s="524"/>
    </row>
    <row r="158" spans="2:9" ht="13.65" customHeight="1">
      <c r="D158" s="1293"/>
      <c r="E158" s="1293"/>
      <c r="F158" s="1293"/>
      <c r="I158" s="524"/>
    </row>
    <row r="159" spans="2:9" ht="13.65" customHeight="1">
      <c r="D159" s="1293"/>
      <c r="E159" s="1293"/>
      <c r="F159" s="1293"/>
      <c r="I159" s="524"/>
    </row>
    <row r="160" spans="2:9" ht="13.65" customHeight="1">
      <c r="D160" s="1293"/>
      <c r="E160" s="1293"/>
      <c r="F160" s="1293"/>
      <c r="I160" s="524"/>
    </row>
    <row r="161" spans="1:9" ht="13.65" customHeight="1">
      <c r="D161" s="1293"/>
      <c r="E161" s="1293"/>
      <c r="F161" s="1293"/>
      <c r="I161" s="524"/>
    </row>
    <row r="162" spans="1:9" ht="13.65" customHeight="1">
      <c r="D162" s="1293"/>
      <c r="E162" s="1293"/>
      <c r="F162" s="1293"/>
      <c r="I162" s="524"/>
    </row>
    <row r="163" spans="1:9" ht="13.65" customHeight="1">
      <c r="D163" s="1293"/>
      <c r="E163" s="1293"/>
      <c r="F163" s="1293"/>
      <c r="I163" s="524"/>
    </row>
    <row r="164" spans="1:9" ht="13.65" customHeight="1">
      <c r="D164" s="1293"/>
      <c r="E164" s="1293"/>
      <c r="F164" s="1293"/>
      <c r="I164" s="524"/>
    </row>
    <row r="165" spans="1:9" ht="13.65" customHeight="1">
      <c r="D165" s="1293"/>
      <c r="E165" s="1293"/>
      <c r="F165" s="1293"/>
      <c r="I165" s="524"/>
    </row>
    <row r="166" spans="1:9" ht="13.65" customHeight="1">
      <c r="D166" s="1293"/>
      <c r="E166" s="1293"/>
      <c r="F166" s="1293"/>
      <c r="I166" s="524"/>
    </row>
    <row r="167" spans="1:9" ht="13.65" customHeight="1">
      <c r="D167" s="1293"/>
      <c r="E167" s="1293"/>
      <c r="F167" s="1293"/>
      <c r="I167" s="524"/>
    </row>
    <row r="168" spans="1:9" ht="13.65" customHeight="1">
      <c r="D168" s="1293"/>
      <c r="E168" s="1293"/>
      <c r="F168" s="1293"/>
      <c r="I168" s="524"/>
    </row>
    <row r="169" spans="1:9" ht="13.65" customHeight="1">
      <c r="D169" s="1338" t="s">
        <v>2387</v>
      </c>
      <c r="E169" s="1338"/>
      <c r="F169" s="1338"/>
      <c r="G169" s="541"/>
      <c r="I169" s="524"/>
    </row>
    <row r="170" spans="1:9" ht="13.65" customHeight="1">
      <c r="D170" s="1279"/>
      <c r="E170" s="1279"/>
      <c r="F170" s="1279"/>
      <c r="G170" s="1279"/>
      <c r="I170" s="524"/>
    </row>
    <row r="171" spans="1:9" ht="14.4" customHeight="1">
      <c r="A171" s="523"/>
      <c r="B171" s="519" t="s">
        <v>2774</v>
      </c>
      <c r="C171" s="510"/>
      <c r="D171" s="1275" t="s">
        <v>2575</v>
      </c>
      <c r="E171" s="1275"/>
      <c r="F171" s="1275"/>
      <c r="G171" s="510"/>
      <c r="I171" s="524" t="s">
        <v>2079</v>
      </c>
    </row>
    <row r="172" spans="1:9" ht="14.4" customHeight="1">
      <c r="A172" s="523"/>
      <c r="B172" s="523"/>
      <c r="C172" s="510"/>
      <c r="D172" s="1275"/>
      <c r="E172" s="1275"/>
      <c r="F172" s="1275"/>
      <c r="G172" s="510"/>
      <c r="I172" s="524"/>
    </row>
    <row r="173" spans="1:9" ht="14.4" customHeight="1">
      <c r="A173" s="523"/>
      <c r="B173" s="523"/>
      <c r="C173" s="510"/>
      <c r="D173" s="1275"/>
      <c r="E173" s="1275"/>
      <c r="F173" s="1275"/>
      <c r="G173" s="510"/>
      <c r="I173" s="524"/>
    </row>
    <row r="174" spans="1:9" ht="14.4" customHeight="1">
      <c r="A174" s="523"/>
      <c r="B174" s="523"/>
      <c r="C174" s="510"/>
      <c r="D174" s="1275"/>
      <c r="E174" s="1275"/>
      <c r="F174" s="1275"/>
      <c r="G174" s="510"/>
      <c r="I174" s="524"/>
    </row>
    <row r="175" spans="1:9" ht="13.65" customHeight="1">
      <c r="A175" s="523"/>
      <c r="B175" s="523"/>
      <c r="C175" s="510"/>
      <c r="D175" s="1275"/>
      <c r="E175" s="1275"/>
      <c r="F175" s="1275"/>
      <c r="G175" s="510"/>
      <c r="I175" s="524"/>
    </row>
    <row r="176" spans="1:9" ht="13.65" customHeight="1">
      <c r="A176" s="523"/>
      <c r="B176" s="523"/>
      <c r="C176" s="510"/>
      <c r="D176" s="510"/>
      <c r="E176" s="510"/>
      <c r="F176" s="510"/>
      <c r="G176" s="510"/>
      <c r="I176" s="524"/>
    </row>
    <row r="177" spans="1:9" ht="13.65" customHeight="1">
      <c r="A177" s="523"/>
      <c r="B177" s="519" t="s">
        <v>2773</v>
      </c>
      <c r="C177" s="510"/>
      <c r="D177" s="1275" t="s">
        <v>1178</v>
      </c>
      <c r="E177" s="1275"/>
      <c r="F177" s="1275"/>
      <c r="G177" s="510"/>
      <c r="I177" s="524" t="s">
        <v>2085</v>
      </c>
    </row>
    <row r="178" spans="1:9" ht="13.65" customHeight="1">
      <c r="A178" s="523"/>
      <c r="B178" s="523"/>
      <c r="C178" s="510"/>
      <c r="D178" s="1275"/>
      <c r="E178" s="1275"/>
      <c r="F178" s="1275"/>
      <c r="G178" s="510"/>
      <c r="I178" s="524"/>
    </row>
    <row r="179" spans="1:9" ht="13.65" customHeight="1">
      <c r="A179" s="523"/>
      <c r="B179" s="523"/>
      <c r="C179" s="510"/>
      <c r="D179" s="1275"/>
      <c r="E179" s="1275"/>
      <c r="F179" s="1275"/>
      <c r="G179" s="510"/>
      <c r="I179" s="524"/>
    </row>
    <row r="180" spans="1:9" ht="13.65" customHeight="1">
      <c r="A180" s="523"/>
      <c r="B180" s="523"/>
      <c r="C180" s="510"/>
      <c r="D180" s="1275"/>
      <c r="E180" s="1275"/>
      <c r="F180" s="1275"/>
      <c r="G180" s="510"/>
      <c r="I180" s="524"/>
    </row>
    <row r="181" spans="1:9" ht="13.65" customHeight="1">
      <c r="D181" s="480"/>
      <c r="E181" s="480"/>
      <c r="F181" s="480"/>
      <c r="I181" s="524"/>
    </row>
    <row r="182" spans="1:9" ht="13.65" customHeight="1">
      <c r="B182" s="519" t="s">
        <v>2774</v>
      </c>
      <c r="D182" s="1280" t="s">
        <v>2364</v>
      </c>
      <c r="E182" s="1280"/>
      <c r="F182" s="1280"/>
      <c r="I182" s="524" t="s">
        <v>2086</v>
      </c>
    </row>
    <row r="183" spans="1:9" ht="13.65" customHeight="1">
      <c r="D183" s="1280"/>
      <c r="E183" s="1280"/>
      <c r="F183" s="1280"/>
      <c r="I183" s="524"/>
    </row>
    <row r="184" spans="1:9" ht="13.65" customHeight="1">
      <c r="D184" s="1280"/>
      <c r="E184" s="1280"/>
      <c r="F184" s="1280"/>
      <c r="I184" s="524"/>
    </row>
    <row r="185" spans="1:9" ht="13.65"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65"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2774</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2773</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308</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4">
      <c r="A210" s="518"/>
      <c r="B210" s="518"/>
      <c r="D210" s="1277" t="s">
        <v>2201</v>
      </c>
      <c r="E210" s="1277"/>
      <c r="F210" s="1277"/>
      <c r="I210" s="524"/>
    </row>
    <row r="211" spans="1:9">
      <c r="D211" s="416"/>
      <c r="E211" s="1341" t="s">
        <v>2227</v>
      </c>
      <c r="F211" s="1341"/>
      <c r="I211" s="524"/>
    </row>
    <row r="212" spans="1:9">
      <c r="D212" s="481"/>
      <c r="I212" s="524"/>
    </row>
    <row r="213" spans="1:9">
      <c r="B213" s="519" t="s">
        <v>308</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4">
      <c r="A217" s="518"/>
      <c r="B217" s="519" t="s">
        <v>308</v>
      </c>
      <c r="D217" s="1293" t="s">
        <v>1323</v>
      </c>
      <c r="E217" s="1293"/>
      <c r="F217" s="1293"/>
      <c r="I217" s="524"/>
    </row>
    <row r="218" spans="1:9" ht="14.4" customHeight="1">
      <c r="A218" s="518"/>
      <c r="B218" s="433"/>
      <c r="D218" s="1293"/>
      <c r="E218" s="1293"/>
      <c r="F218" s="1293"/>
      <c r="I218" s="524"/>
    </row>
    <row r="219" spans="1:9" ht="14.4">
      <c r="A219" s="518"/>
      <c r="D219" s="1293"/>
      <c r="E219" s="1293"/>
      <c r="F219" s="1293"/>
      <c r="I219" s="524"/>
    </row>
    <row r="220" spans="1:9" ht="14.4">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65" customHeight="1">
      <c r="A227" s="524"/>
      <c r="C227" s="524"/>
      <c r="D227" s="1292" t="s">
        <v>555</v>
      </c>
      <c r="E227" s="1292"/>
      <c r="F227" s="1292"/>
      <c r="I227" s="524" t="s">
        <v>2087</v>
      </c>
    </row>
    <row r="228" spans="1:9" ht="14.4">
      <c r="A228" s="518"/>
      <c r="B228" s="519" t="s">
        <v>2773</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4">
      <c r="A231" s="518"/>
      <c r="B231" s="518"/>
      <c r="D231" s="1293"/>
      <c r="E231" s="1293"/>
      <c r="F231" s="1293"/>
      <c r="I231" s="524"/>
    </row>
    <row r="232" spans="1:9" ht="14.4">
      <c r="A232" s="518"/>
      <c r="B232" s="518"/>
      <c r="D232" s="479"/>
      <c r="E232" s="479"/>
      <c r="F232" s="479"/>
      <c r="I232" s="524"/>
    </row>
    <row r="233" spans="1:9" ht="14.4">
      <c r="A233" s="518"/>
      <c r="B233" s="519" t="s">
        <v>2773</v>
      </c>
      <c r="D233" s="1293" t="s">
        <v>1943</v>
      </c>
      <c r="E233" s="1293"/>
      <c r="F233" s="1293"/>
      <c r="I233" s="524" t="s">
        <v>2088</v>
      </c>
    </row>
    <row r="234" spans="1:9" ht="14.4">
      <c r="A234" s="518"/>
      <c r="B234" s="518"/>
      <c r="D234" s="1293"/>
      <c r="E234" s="1293"/>
      <c r="F234" s="1293"/>
      <c r="I234" s="524"/>
    </row>
    <row r="235" spans="1:9" ht="14.4">
      <c r="A235" s="518"/>
      <c r="B235" s="518"/>
      <c r="D235" s="1293"/>
      <c r="E235" s="1293"/>
      <c r="F235" s="1293"/>
      <c r="I235" s="524"/>
    </row>
    <row r="236" spans="1:9" ht="14.4">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4">
      <c r="A239" s="518"/>
      <c r="B239" s="518"/>
      <c r="D239" s="1293" t="s">
        <v>1200</v>
      </c>
      <c r="E239" s="1293"/>
      <c r="F239" s="1293"/>
      <c r="I239" s="524" t="s">
        <v>2087</v>
      </c>
    </row>
    <row r="240" spans="1:9" ht="14.4">
      <c r="A240" s="518"/>
      <c r="B240" s="518"/>
      <c r="D240" s="1293"/>
      <c r="E240" s="1293"/>
      <c r="F240" s="1293"/>
      <c r="I240" s="524"/>
    </row>
    <row r="241" spans="1:9" ht="14.4">
      <c r="A241" s="518"/>
      <c r="B241" s="518"/>
      <c r="D241" s="1293"/>
      <c r="E241" s="1293"/>
      <c r="F241" s="1293"/>
      <c r="I241" s="524"/>
    </row>
    <row r="242" spans="1:9" ht="14.4">
      <c r="A242" s="518"/>
      <c r="B242" s="518"/>
      <c r="D242" s="1293"/>
      <c r="E242" s="1293"/>
      <c r="F242" s="1293"/>
      <c r="I242" s="524"/>
    </row>
    <row r="243" spans="1:9" ht="14.4">
      <c r="A243" s="518"/>
      <c r="B243" s="518"/>
      <c r="D243" s="1293"/>
      <c r="E243" s="1293"/>
      <c r="F243" s="1293"/>
      <c r="I243" s="524"/>
    </row>
    <row r="244" spans="1:9" ht="14.4">
      <c r="A244" s="518"/>
      <c r="B244" s="518"/>
      <c r="D244" s="480"/>
      <c r="E244" s="480"/>
      <c r="F244" s="480"/>
      <c r="I244" s="524"/>
    </row>
    <row r="245" spans="1:9" ht="14.4">
      <c r="A245" s="518"/>
      <c r="B245" s="519" t="s">
        <v>2774</v>
      </c>
      <c r="D245" s="1293" t="s">
        <v>2366</v>
      </c>
      <c r="E245" s="1293"/>
      <c r="F245" s="1293"/>
      <c r="I245" s="524" t="s">
        <v>2126</v>
      </c>
    </row>
    <row r="246" spans="1:9" ht="14.4">
      <c r="A246" s="518"/>
      <c r="B246" s="518"/>
      <c r="D246" s="1293"/>
      <c r="E246" s="1293"/>
      <c r="F246" s="1293"/>
      <c r="I246" s="524"/>
    </row>
    <row r="247" spans="1:9" ht="14.4">
      <c r="A247" s="518"/>
      <c r="B247" s="518"/>
      <c r="D247" s="1293"/>
      <c r="E247" s="1293"/>
      <c r="F247" s="1293"/>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2774</v>
      </c>
      <c r="D250" s="1293" t="s">
        <v>2367</v>
      </c>
      <c r="E250" s="1293"/>
      <c r="F250" s="1293"/>
      <c r="I250" s="524" t="s">
        <v>2144</v>
      </c>
    </row>
    <row r="251" spans="1:9" ht="14.4">
      <c r="A251" s="518"/>
      <c r="B251" s="518"/>
      <c r="D251" s="1293"/>
      <c r="E251" s="1293"/>
      <c r="F251" s="1293"/>
      <c r="I251" s="524"/>
    </row>
    <row r="252" spans="1:9" ht="14.4">
      <c r="A252" s="518"/>
      <c r="B252" s="518"/>
      <c r="D252" s="1293"/>
      <c r="E252" s="1293"/>
      <c r="F252" s="1293"/>
      <c r="I252" s="524"/>
    </row>
    <row r="253" spans="1:9" ht="14.4">
      <c r="A253" s="518"/>
      <c r="B253" s="518"/>
      <c r="D253" s="1293"/>
      <c r="E253" s="1293"/>
      <c r="F253" s="1293"/>
      <c r="I253" s="524"/>
    </row>
    <row r="254" spans="1:9" ht="14.4">
      <c r="A254" s="518"/>
      <c r="B254" s="518"/>
      <c r="D254" s="1293"/>
      <c r="E254" s="1293"/>
      <c r="F254" s="1293"/>
      <c r="I254" s="524"/>
    </row>
    <row r="255" spans="1:9" ht="14.4">
      <c r="A255" s="518"/>
      <c r="B255" s="518"/>
      <c r="D255" s="479"/>
      <c r="E255" s="479"/>
      <c r="F255" s="479"/>
      <c r="I255" s="524"/>
    </row>
    <row r="256" spans="1:9" ht="14.4">
      <c r="A256" s="518"/>
      <c r="B256" s="519" t="s">
        <v>2773</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2773</v>
      </c>
      <c r="D259" s="1293" t="s">
        <v>1202</v>
      </c>
      <c r="E259" s="1293"/>
      <c r="F259" s="1293"/>
      <c r="I259" s="524"/>
    </row>
    <row r="260" spans="1:9" ht="14.4">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 customHeight="1">
      <c r="A267" s="518"/>
      <c r="B267" s="519" t="s">
        <v>2773</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 customHeight="1">
      <c r="A271" s="518"/>
      <c r="B271" s="519" t="s">
        <v>2774</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4">
      <c r="A278" s="518"/>
      <c r="B278" s="519" t="s">
        <v>2774</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4">
      <c r="A290" s="518"/>
      <c r="B290" s="519" t="s">
        <v>2774</v>
      </c>
      <c r="D290" s="1293" t="s">
        <v>1212</v>
      </c>
      <c r="E290" s="1293"/>
      <c r="F290" s="1293"/>
      <c r="I290" s="524" t="s">
        <v>2089</v>
      </c>
    </row>
    <row r="291" spans="1:9" ht="14.4">
      <c r="A291" s="518"/>
      <c r="B291" s="518"/>
      <c r="D291" s="1293"/>
      <c r="E291" s="1293"/>
      <c r="F291" s="1293"/>
      <c r="I291" s="524"/>
    </row>
    <row r="292" spans="1:9">
      <c r="D292" s="480"/>
      <c r="E292" s="480"/>
      <c r="F292" s="480"/>
      <c r="I292" s="524"/>
    </row>
    <row r="293" spans="1:9" ht="14.4">
      <c r="A293" s="518"/>
      <c r="B293" s="519" t="s">
        <v>2774</v>
      </c>
      <c r="D293" s="1293" t="s">
        <v>1213</v>
      </c>
      <c r="E293" s="1293"/>
      <c r="F293" s="1293"/>
      <c r="I293" s="524" t="s">
        <v>2089</v>
      </c>
    </row>
    <row r="294" spans="1:9" ht="14.4">
      <c r="A294" s="518"/>
      <c r="B294" s="518"/>
      <c r="D294" s="1293"/>
      <c r="E294" s="1293"/>
      <c r="F294" s="1293"/>
      <c r="I294" s="524"/>
    </row>
    <row r="295" spans="1:9" ht="14.4">
      <c r="A295" s="518"/>
      <c r="B295" s="518"/>
      <c r="D295" s="1293"/>
      <c r="E295" s="1293"/>
      <c r="F295" s="1293"/>
      <c r="I295" s="524"/>
    </row>
    <row r="296" spans="1:9">
      <c r="D296" s="480"/>
      <c r="E296" s="480"/>
      <c r="F296" s="480"/>
      <c r="I296" s="524"/>
    </row>
    <row r="297" spans="1:9" ht="14.4">
      <c r="A297" s="518"/>
      <c r="B297" s="519" t="s">
        <v>2774</v>
      </c>
      <c r="D297" s="1293" t="s">
        <v>1214</v>
      </c>
      <c r="E297" s="1293"/>
      <c r="F297" s="1293"/>
      <c r="I297" s="524" t="s">
        <v>2089</v>
      </c>
    </row>
    <row r="298" spans="1:9" ht="14.4">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2774</v>
      </c>
      <c r="D305" s="1294" t="s">
        <v>1216</v>
      </c>
      <c r="E305" s="1294"/>
      <c r="F305" s="1294"/>
      <c r="I305" s="524" t="s">
        <v>2090</v>
      </c>
    </row>
    <row r="306" spans="1:9" ht="14.4">
      <c r="A306" s="518"/>
      <c r="B306" s="518"/>
      <c r="D306" s="528"/>
      <c r="E306" s="529"/>
      <c r="F306" s="529"/>
      <c r="I306" s="524"/>
    </row>
    <row r="307" spans="1:9" ht="13.65" customHeight="1">
      <c r="B307" s="519" t="s">
        <v>2774</v>
      </c>
      <c r="D307" s="1347" t="s">
        <v>1326</v>
      </c>
      <c r="E307" s="1347"/>
      <c r="F307" s="1347"/>
      <c r="I307" s="524" t="s">
        <v>2090</v>
      </c>
    </row>
    <row r="308" spans="1:9" ht="14.4">
      <c r="A308" s="518"/>
      <c r="B308" s="518"/>
      <c r="D308" s="1347"/>
      <c r="E308" s="1347"/>
      <c r="F308" s="1347"/>
      <c r="I308" s="524"/>
    </row>
    <row r="309" spans="1:9" ht="14.4">
      <c r="A309" s="518"/>
      <c r="B309" s="518"/>
      <c r="D309" s="1347"/>
      <c r="E309" s="1347"/>
      <c r="F309" s="1347"/>
      <c r="I309" s="524"/>
    </row>
    <row r="310" spans="1:9" ht="14.4">
      <c r="A310" s="518"/>
      <c r="B310" s="518"/>
      <c r="D310" s="1347"/>
      <c r="E310" s="1347"/>
      <c r="F310" s="1347"/>
      <c r="I310" s="524"/>
    </row>
    <row r="311" spans="1:9" ht="14.4">
      <c r="A311" s="518"/>
      <c r="B311" s="518"/>
      <c r="D311" s="1347"/>
      <c r="E311" s="1347"/>
      <c r="F311" s="1347"/>
      <c r="I311" s="524"/>
    </row>
    <row r="312" spans="1:9" ht="14.4">
      <c r="A312" s="518"/>
      <c r="B312" s="518"/>
      <c r="D312" s="528"/>
      <c r="E312" s="529"/>
      <c r="F312" s="529"/>
      <c r="I312" s="524"/>
    </row>
    <row r="313" spans="1:9" ht="13.65" customHeight="1">
      <c r="B313" s="519" t="s">
        <v>2774</v>
      </c>
      <c r="D313" s="1347" t="s">
        <v>1218</v>
      </c>
      <c r="E313" s="1347"/>
      <c r="F313" s="1347"/>
      <c r="I313" s="524" t="s">
        <v>2090</v>
      </c>
    </row>
    <row r="314" spans="1:9">
      <c r="D314" s="1347"/>
      <c r="E314" s="1347"/>
      <c r="F314" s="1347"/>
      <c r="I314" s="524"/>
    </row>
    <row r="315" spans="1:9" ht="14.4">
      <c r="A315" s="518"/>
      <c r="B315" s="518"/>
      <c r="D315" s="528"/>
      <c r="E315" s="529"/>
      <c r="F315" s="529"/>
      <c r="I315" s="524"/>
    </row>
    <row r="316" spans="1:9">
      <c r="B316" s="519" t="s">
        <v>2774</v>
      </c>
      <c r="D316" s="1294" t="s">
        <v>1219</v>
      </c>
      <c r="E316" s="1294"/>
      <c r="F316" s="1294"/>
      <c r="I316" s="524" t="s">
        <v>2076</v>
      </c>
    </row>
    <row r="317" spans="1:9">
      <c r="E317" s="480"/>
      <c r="F317" s="480"/>
      <c r="I317" s="524"/>
    </row>
    <row r="318" spans="1:9" ht="14.4">
      <c r="A318" s="518"/>
      <c r="B318" s="519" t="s">
        <v>2774</v>
      </c>
      <c r="D318" s="1293" t="s">
        <v>2388</v>
      </c>
      <c r="E318" s="1293"/>
      <c r="F318" s="1293"/>
      <c r="I318" s="524" t="s">
        <v>2091</v>
      </c>
    </row>
    <row r="319" spans="1:9" ht="14.4">
      <c r="A319" s="518"/>
      <c r="B319" s="518"/>
      <c r="D319" s="1293"/>
      <c r="E319" s="1293"/>
      <c r="F319" s="1293"/>
      <c r="I319" s="524"/>
    </row>
    <row r="320" spans="1:9" ht="14.4">
      <c r="A320" s="518"/>
      <c r="B320" s="518"/>
      <c r="D320" s="1293"/>
      <c r="E320" s="1293"/>
      <c r="F320" s="1293"/>
      <c r="I320" s="524"/>
    </row>
    <row r="321" spans="1:9" ht="14.4">
      <c r="A321" s="518"/>
      <c r="B321" s="518"/>
      <c r="D321" s="1293"/>
      <c r="E321" s="1293"/>
      <c r="F321" s="1293"/>
      <c r="I321" s="524"/>
    </row>
    <row r="322" spans="1:9" ht="14.4">
      <c r="A322" s="518"/>
      <c r="B322" s="518"/>
      <c r="D322" s="1293"/>
      <c r="E322" s="1293"/>
      <c r="F322" s="1293"/>
      <c r="I322" s="524"/>
    </row>
    <row r="323" spans="1:9" ht="14.4">
      <c r="A323" s="518"/>
      <c r="B323" s="518"/>
      <c r="D323" s="1293"/>
      <c r="E323" s="1293"/>
      <c r="F323" s="1293"/>
      <c r="I323" s="524"/>
    </row>
    <row r="324" spans="1:9" ht="14.4">
      <c r="A324" s="518"/>
      <c r="B324" s="518"/>
      <c r="D324" s="1293"/>
      <c r="E324" s="1293"/>
      <c r="F324" s="1293"/>
      <c r="I324" s="524"/>
    </row>
    <row r="325" spans="1:9" ht="14.4">
      <c r="A325" s="518"/>
      <c r="B325" s="518"/>
      <c r="D325" s="1293"/>
      <c r="E325" s="1293"/>
      <c r="F325" s="1293"/>
      <c r="I325" s="524"/>
    </row>
    <row r="326" spans="1:9" ht="14.4">
      <c r="A326" s="518"/>
      <c r="B326" s="518"/>
      <c r="D326" s="1293"/>
      <c r="E326" s="1293"/>
      <c r="F326" s="1293"/>
      <c r="I326" s="524"/>
    </row>
    <row r="327" spans="1:9" ht="14.4">
      <c r="A327" s="518"/>
      <c r="B327" s="518"/>
      <c r="D327" s="1293"/>
      <c r="E327" s="1293"/>
      <c r="F327" s="1293"/>
      <c r="I327" s="524"/>
    </row>
    <row r="328" spans="1:9" ht="14.4">
      <c r="A328" s="518"/>
      <c r="B328" s="518"/>
      <c r="D328" s="1293"/>
      <c r="E328" s="1293"/>
      <c r="F328" s="1293"/>
      <c r="I328" s="524"/>
    </row>
    <row r="329" spans="1:9" ht="14.4">
      <c r="A329" s="518"/>
      <c r="B329" s="518"/>
      <c r="D329" s="1293"/>
      <c r="E329" s="1293"/>
      <c r="F329" s="1293"/>
      <c r="I329" s="524"/>
    </row>
    <row r="330" spans="1:9" ht="14.4">
      <c r="A330" s="518"/>
      <c r="B330" s="518"/>
      <c r="D330" s="1293"/>
      <c r="E330" s="1293"/>
      <c r="F330" s="1293"/>
      <c r="I330" s="524"/>
    </row>
    <row r="331" spans="1:9" ht="14.4">
      <c r="A331" s="518"/>
      <c r="B331" s="518"/>
      <c r="D331" s="1293"/>
      <c r="E331" s="1293"/>
      <c r="F331" s="1293"/>
      <c r="I331" s="524"/>
    </row>
    <row r="332" spans="1:9" ht="14.4">
      <c r="A332" s="518"/>
      <c r="B332" s="518"/>
      <c r="D332" s="1293"/>
      <c r="E332" s="1293"/>
      <c r="F332" s="1293"/>
      <c r="I332" s="524"/>
    </row>
    <row r="333" spans="1:9">
      <c r="D333" s="480"/>
      <c r="E333" s="480"/>
      <c r="F333" s="480"/>
      <c r="I333" s="524"/>
    </row>
    <row r="334" spans="1:9" ht="14.4">
      <c r="A334" s="518"/>
      <c r="B334" s="519" t="s">
        <v>2774</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2774</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43" t="s">
        <v>999</v>
      </c>
      <c r="E351" s="1343"/>
      <c r="F351" s="1343"/>
      <c r="G351" s="1062"/>
      <c r="H351" s="1062"/>
      <c r="I351" s="1259"/>
    </row>
    <row r="352" spans="1:9" ht="13.8"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4">
      <c r="A355" s="518"/>
      <c r="B355" s="519" t="s">
        <v>2774</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4">
      <c r="A360" s="518"/>
      <c r="B360" s="519" t="s">
        <v>2774</v>
      </c>
      <c r="C360" s="510"/>
      <c r="D360" s="1279" t="s">
        <v>2370</v>
      </c>
      <c r="E360" s="1279"/>
      <c r="F360" s="1279"/>
      <c r="I360" s="514"/>
    </row>
    <row r="361" spans="1:9">
      <c r="A361" s="510"/>
      <c r="B361" s="510"/>
      <c r="C361" s="510"/>
      <c r="D361" s="481"/>
      <c r="E361" s="481"/>
      <c r="F361" s="480"/>
      <c r="I361" s="524"/>
    </row>
    <row r="362" spans="1:9">
      <c r="A362" s="510"/>
      <c r="B362" s="519" t="s">
        <v>2774</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65"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308</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 customHeight="1">
      <c r="A423" s="518"/>
      <c r="B423" s="519" t="s">
        <v>308</v>
      </c>
      <c r="D423" s="1275" t="s">
        <v>2129</v>
      </c>
      <c r="E423" s="1275"/>
      <c r="F423" s="1275"/>
      <c r="I423" s="524"/>
    </row>
    <row r="424" spans="1:9" ht="14.4" customHeight="1">
      <c r="A424" s="518"/>
      <c r="D424" s="1275"/>
      <c r="E424" s="1275"/>
      <c r="F424" s="1275"/>
      <c r="I424" s="524"/>
    </row>
    <row r="425" spans="1:9" ht="14.4" customHeight="1">
      <c r="A425" s="518"/>
      <c r="D425" s="1275"/>
      <c r="E425" s="1275"/>
      <c r="F425" s="1275"/>
      <c r="I425" s="524"/>
    </row>
    <row r="426" spans="1:9" ht="14.4" customHeight="1">
      <c r="A426" s="518"/>
      <c r="D426" s="1275"/>
      <c r="E426" s="1275"/>
      <c r="F426" s="1275"/>
      <c r="I426" s="524"/>
    </row>
    <row r="427" spans="1:9" ht="14.4" customHeight="1">
      <c r="A427" s="518"/>
      <c r="D427" s="1275"/>
      <c r="E427" s="1275"/>
      <c r="F427" s="1275"/>
      <c r="I427" s="524"/>
    </row>
    <row r="428" spans="1:9" ht="14.4" customHeight="1">
      <c r="A428" s="518"/>
      <c r="D428" s="416"/>
      <c r="E428" s="416"/>
      <c r="F428" s="416"/>
      <c r="I428" s="524"/>
    </row>
    <row r="429" spans="1:9" ht="13.65" customHeight="1">
      <c r="A429" s="518"/>
      <c r="B429" s="519" t="s">
        <v>308</v>
      </c>
      <c r="C429" s="510"/>
      <c r="D429" s="1275" t="s">
        <v>1348</v>
      </c>
      <c r="E429" s="1275"/>
      <c r="F429" s="1275"/>
      <c r="I429" s="524"/>
    </row>
    <row r="430" spans="1:9" ht="14.4">
      <c r="A430" s="531"/>
      <c r="B430" s="531"/>
      <c r="C430" s="510"/>
      <c r="D430" s="1275"/>
      <c r="E430" s="1275"/>
      <c r="F430" s="1275"/>
      <c r="I430" s="524"/>
    </row>
    <row r="431" spans="1:9" ht="14.4">
      <c r="A431" s="531"/>
      <c r="B431" s="531"/>
      <c r="C431" s="510"/>
      <c r="D431" s="1275"/>
      <c r="E431" s="1275"/>
      <c r="F431" s="1275"/>
      <c r="I431" s="524"/>
    </row>
    <row r="432" spans="1:9" ht="14.4">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4">
      <c r="A435" s="518"/>
      <c r="B435" s="519" t="s">
        <v>308</v>
      </c>
      <c r="C435" s="521"/>
      <c r="D435" s="1293" t="s">
        <v>2372</v>
      </c>
      <c r="E435" s="1293"/>
      <c r="F435" s="1293"/>
      <c r="I435" s="524"/>
    </row>
    <row r="436" spans="1:9" ht="14.4">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65" customHeight="1">
      <c r="D465" s="1293"/>
      <c r="E465" s="1293"/>
      <c r="F465" s="1293"/>
      <c r="I465" s="524"/>
    </row>
    <row r="466" spans="1:9">
      <c r="D466" s="480"/>
      <c r="E466" s="480"/>
      <c r="F466" s="480"/>
      <c r="I466" s="524"/>
    </row>
    <row r="467" spans="1:9" ht="14.4">
      <c r="A467" s="518"/>
      <c r="B467" s="519" t="s">
        <v>308</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4">
      <c r="B471" s="519" t="s">
        <v>308</v>
      </c>
      <c r="C471" s="518"/>
      <c r="D471" s="1293" t="s">
        <v>1304</v>
      </c>
      <c r="E471" s="1293"/>
      <c r="F471" s="1293"/>
      <c r="I471" s="524"/>
    </row>
    <row r="472" spans="1:9">
      <c r="D472" s="1293"/>
      <c r="E472" s="1293"/>
      <c r="F472" s="1293"/>
      <c r="I472" s="524"/>
    </row>
    <row r="473" spans="1:9">
      <c r="D473" s="480"/>
      <c r="E473" s="480"/>
      <c r="F473" s="480"/>
      <c r="I473" s="524"/>
    </row>
    <row r="474" spans="1:9" ht="14.4">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4">
      <c r="A499" s="518"/>
      <c r="B499" s="518"/>
      <c r="D499" s="1279" t="s">
        <v>1239</v>
      </c>
      <c r="E499" s="1279"/>
      <c r="F499" s="1279"/>
      <c r="I499" s="524"/>
    </row>
    <row r="500" spans="1:9" ht="14.4">
      <c r="A500" s="518"/>
      <c r="B500" s="518"/>
      <c r="D500" s="481"/>
      <c r="I500" s="524"/>
    </row>
    <row r="501" spans="1:9" ht="14.4">
      <c r="A501" s="518"/>
      <c r="B501" s="519" t="s">
        <v>308</v>
      </c>
      <c r="D501" s="1275" t="s">
        <v>1240</v>
      </c>
      <c r="E501" s="1275"/>
      <c r="F501" s="1275"/>
      <c r="I501" s="524" t="s">
        <v>2093</v>
      </c>
    </row>
    <row r="502" spans="1:9" ht="14.4">
      <c r="A502" s="518"/>
      <c r="B502" s="518"/>
      <c r="D502" s="1275"/>
      <c r="E502" s="1275"/>
      <c r="F502" s="1275"/>
      <c r="I502" s="524"/>
    </row>
    <row r="503" spans="1:9" ht="14.4">
      <c r="A503" s="518"/>
      <c r="B503" s="518"/>
      <c r="D503" s="480"/>
      <c r="I503" s="524"/>
    </row>
    <row r="504" spans="1:9" ht="12.75" customHeight="1">
      <c r="B504" s="519" t="s">
        <v>308</v>
      </c>
      <c r="D504" s="1280" t="s">
        <v>1382</v>
      </c>
      <c r="E504" s="1280"/>
      <c r="F504" s="1280"/>
      <c r="I504" s="524" t="s">
        <v>2094</v>
      </c>
    </row>
    <row r="505" spans="1:9" ht="14.4">
      <c r="A505" s="518"/>
      <c r="D505" s="1280"/>
      <c r="E505" s="1280"/>
      <c r="F505" s="1280"/>
      <c r="I505" s="524"/>
    </row>
    <row r="506" spans="1:9" ht="14.4">
      <c r="A506" s="518"/>
      <c r="B506" s="518"/>
      <c r="D506" s="1280"/>
      <c r="E506" s="1280"/>
      <c r="F506" s="1280"/>
      <c r="I506" s="524"/>
    </row>
    <row r="507" spans="1:9" ht="14.4">
      <c r="A507" s="518"/>
      <c r="B507" s="518"/>
      <c r="D507" s="1280"/>
      <c r="E507" s="1280"/>
      <c r="F507" s="1280"/>
      <c r="I507" s="524"/>
    </row>
    <row r="508" spans="1:9" ht="14.4">
      <c r="A508" s="518"/>
      <c r="D508" s="554"/>
      <c r="E508" s="554"/>
      <c r="F508" s="554"/>
      <c r="I508" s="524"/>
    </row>
    <row r="509" spans="1:9" ht="14.4">
      <c r="A509" s="518"/>
      <c r="B509" s="519" t="s">
        <v>308</v>
      </c>
      <c r="D509" s="1294" t="s">
        <v>1243</v>
      </c>
      <c r="E509" s="1294"/>
      <c r="F509" s="1294"/>
      <c r="I509" s="524" t="s">
        <v>2095</v>
      </c>
    </row>
    <row r="510" spans="1:9" ht="14.4">
      <c r="A510" s="518"/>
      <c r="B510" s="518"/>
      <c r="D510" s="480"/>
      <c r="I510" s="524"/>
    </row>
    <row r="511" spans="1:9" ht="14.4">
      <c r="A511" s="518"/>
      <c r="B511" s="519" t="s">
        <v>308</v>
      </c>
      <c r="D511" s="1293" t="s">
        <v>1244</v>
      </c>
      <c r="E511" s="1293"/>
      <c r="F511" s="1293"/>
      <c r="I511" s="524" t="s">
        <v>2095</v>
      </c>
    </row>
    <row r="512" spans="1:9" ht="14.4">
      <c r="A512" s="518"/>
      <c r="D512" s="1293"/>
      <c r="E512" s="1293"/>
      <c r="F512" s="1293"/>
      <c r="I512" s="524"/>
    </row>
    <row r="513" spans="1:9">
      <c r="A513" s="524"/>
      <c r="B513" s="524"/>
      <c r="D513" s="481"/>
      <c r="I513" s="524"/>
    </row>
    <row r="514" spans="1:9">
      <c r="A514" s="524"/>
      <c r="B514" s="519" t="s">
        <v>308</v>
      </c>
      <c r="D514" s="1294" t="s">
        <v>1245</v>
      </c>
      <c r="E514" s="1294"/>
      <c r="F514" s="1294"/>
      <c r="I514" s="524" t="s">
        <v>2148</v>
      </c>
    </row>
    <row r="515" spans="1:9" ht="14.4">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2773</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2773</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2774</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65" customHeight="1">
      <c r="A543" s="518"/>
      <c r="B543" s="519" t="s">
        <v>2773</v>
      </c>
      <c r="C543" s="521"/>
      <c r="D543" s="1294" t="s">
        <v>897</v>
      </c>
      <c r="E543" s="1294"/>
      <c r="F543" s="1294"/>
      <c r="I543" s="524" t="s">
        <v>2146</v>
      </c>
    </row>
    <row r="544" spans="1:9" ht="13.65" customHeight="1">
      <c r="A544" s="521"/>
      <c r="B544" s="521"/>
      <c r="C544" s="521"/>
      <c r="D544" s="480"/>
      <c r="I544" s="524"/>
    </row>
    <row r="545" spans="1:9" ht="14.4">
      <c r="A545" s="518"/>
      <c r="B545" s="519" t="s">
        <v>2773</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4">
      <c r="A548" s="518"/>
      <c r="B548" s="519" t="s">
        <v>2773</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4">
      <c r="A551" s="518"/>
      <c r="B551" s="519" t="s">
        <v>2773</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4">
      <c r="A554" s="518"/>
      <c r="B554" s="519" t="s">
        <v>2773</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4">
      <c r="A558" s="518"/>
      <c r="B558" s="519" t="s">
        <v>2774</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4">
      <c r="A561" s="518"/>
      <c r="B561" s="519" t="s">
        <v>2773</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4">
      <c r="A564" s="518"/>
      <c r="B564" s="519" t="s">
        <v>2773</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2773</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4">
      <c r="A573" s="518"/>
      <c r="B573" s="519" t="s">
        <v>2773</v>
      </c>
      <c r="C573" s="521"/>
      <c r="D573" s="1293" t="s">
        <v>2376</v>
      </c>
      <c r="E573" s="1293"/>
      <c r="F573" s="1293"/>
      <c r="I573" s="524" t="s">
        <v>2100</v>
      </c>
    </row>
    <row r="574" spans="1:9" ht="14.4">
      <c r="A574" s="518"/>
      <c r="B574" s="518"/>
      <c r="C574" s="521"/>
      <c r="D574" s="1293"/>
      <c r="E574" s="1293"/>
      <c r="F574" s="1293"/>
      <c r="I574" s="524"/>
    </row>
    <row r="575" spans="1:9" ht="14.4">
      <c r="A575" s="518"/>
      <c r="B575" s="518"/>
      <c r="C575" s="521"/>
      <c r="D575" s="1293"/>
      <c r="E575" s="1293"/>
      <c r="F575" s="1293"/>
      <c r="I575" s="524"/>
    </row>
    <row r="576" spans="1:9" ht="14.4">
      <c r="A576" s="518"/>
      <c r="B576" s="518"/>
      <c r="C576" s="521"/>
      <c r="D576" s="1293"/>
      <c r="E576" s="1293"/>
      <c r="F576" s="1293"/>
      <c r="I576" s="524"/>
    </row>
    <row r="577" spans="1:9" ht="14.4">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2773</v>
      </c>
      <c r="D583" s="1280" t="s">
        <v>903</v>
      </c>
      <c r="E583" s="1280"/>
      <c r="F583" s="1280"/>
      <c r="I583" s="524"/>
    </row>
    <row r="584" spans="1:9">
      <c r="A584" s="524"/>
      <c r="B584" s="524"/>
      <c r="D584" s="510"/>
      <c r="I584" s="524"/>
    </row>
    <row r="585" spans="1:9">
      <c r="A585" s="524"/>
      <c r="B585" s="519" t="s">
        <v>2773</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2774</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2773</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2774</v>
      </c>
      <c r="D597" s="1280" t="s">
        <v>1103</v>
      </c>
      <c r="E597" s="1280"/>
      <c r="F597" s="1280"/>
      <c r="I597" s="524" t="s">
        <v>2150</v>
      </c>
    </row>
    <row r="598" spans="1:9">
      <c r="A598" s="524"/>
      <c r="B598" s="524"/>
      <c r="D598" s="1280"/>
      <c r="E598" s="1280"/>
      <c r="F598" s="1280"/>
      <c r="I598" s="524"/>
    </row>
    <row r="599" spans="1:9" ht="14.4">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2773</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2773</v>
      </c>
      <c r="D615" s="1291" t="s">
        <v>1189</v>
      </c>
      <c r="E615" s="1291"/>
      <c r="F615" s="1291"/>
      <c r="I615" s="524" t="s">
        <v>2151</v>
      </c>
    </row>
    <row r="616" spans="1:9">
      <c r="D616" s="1291"/>
      <c r="E616" s="1291"/>
      <c r="F616" s="1291"/>
      <c r="I616" s="524"/>
    </row>
    <row r="617" spans="1:9">
      <c r="I617" s="524"/>
    </row>
    <row r="618" spans="1:9">
      <c r="B618" s="519" t="s">
        <v>2773</v>
      </c>
      <c r="D618" s="1291" t="s">
        <v>1190</v>
      </c>
      <c r="E618" s="1291"/>
      <c r="F618" s="1291"/>
      <c r="I618" s="524" t="s">
        <v>2104</v>
      </c>
    </row>
    <row r="619" spans="1:9">
      <c r="C619" s="534"/>
      <c r="D619" s="1291"/>
      <c r="E619" s="1291"/>
      <c r="F619" s="1291"/>
      <c r="I619" s="524"/>
    </row>
    <row r="620" spans="1:9">
      <c r="C620" s="534"/>
      <c r="I620" s="524"/>
    </row>
    <row r="621" spans="1:9">
      <c r="B621" s="519" t="s">
        <v>2774</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2773</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4">
      <c r="A635" s="518"/>
      <c r="B635" s="519" t="s">
        <v>2774</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4">
      <c r="A638" s="518"/>
      <c r="B638" s="519" t="s">
        <v>2774</v>
      </c>
      <c r="C638" s="521"/>
      <c r="D638" s="1293" t="s">
        <v>1333</v>
      </c>
      <c r="E638" s="1293"/>
      <c r="F638" s="1293"/>
      <c r="I638" s="524" t="s">
        <v>2105</v>
      </c>
    </row>
    <row r="639" spans="1:9" ht="14.4">
      <c r="A639" s="518"/>
      <c r="B639" s="518"/>
      <c r="C639" s="521"/>
      <c r="D639" s="1293"/>
      <c r="E639" s="1293"/>
      <c r="F639" s="1293"/>
      <c r="I639" s="524"/>
    </row>
    <row r="640" spans="1:9" ht="14.4">
      <c r="A640" s="518"/>
      <c r="B640" s="518"/>
      <c r="C640" s="521"/>
      <c r="D640" s="1293"/>
      <c r="E640" s="1293"/>
      <c r="F640" s="1293"/>
      <c r="I640" s="524"/>
    </row>
    <row r="641" spans="1:9">
      <c r="A641" s="521"/>
      <c r="B641" s="519" t="s">
        <v>2774</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2773</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 customHeight="1">
      <c r="A652" s="518"/>
      <c r="B652" s="518"/>
      <c r="C652" s="521"/>
      <c r="D652" s="416"/>
      <c r="E652" s="416"/>
      <c r="F652" s="416"/>
      <c r="I652" s="524"/>
    </row>
    <row r="653" spans="1:9" ht="12.75" customHeight="1">
      <c r="A653" s="517"/>
      <c r="B653" s="519" t="s">
        <v>2773</v>
      </c>
      <c r="C653" s="521"/>
      <c r="D653" s="1293" t="s">
        <v>1392</v>
      </c>
      <c r="E653" s="1293"/>
      <c r="F653" s="1293"/>
      <c r="I653" s="524" t="s">
        <v>2157</v>
      </c>
    </row>
    <row r="654" spans="1:9" ht="14.4">
      <c r="A654" s="517"/>
      <c r="B654" s="518"/>
      <c r="C654" s="521"/>
      <c r="D654" s="1293"/>
      <c r="E654" s="1293"/>
      <c r="F654" s="1293"/>
      <c r="I654" s="524"/>
    </row>
    <row r="655" spans="1:9" ht="14.4">
      <c r="A655" s="517"/>
      <c r="B655" s="518"/>
      <c r="C655" s="521"/>
      <c r="D655" s="1293"/>
      <c r="E655" s="1293"/>
      <c r="F655" s="1293"/>
      <c r="I655" s="524"/>
    </row>
    <row r="656" spans="1:9" ht="14.4">
      <c r="A656" s="517"/>
      <c r="B656" s="518"/>
      <c r="C656" s="521"/>
      <c r="D656" s="1293"/>
      <c r="E656" s="1293"/>
      <c r="F656" s="1293"/>
      <c r="I656" s="524"/>
    </row>
    <row r="657" spans="1:9" ht="14.4">
      <c r="A657" s="517"/>
      <c r="B657" s="518"/>
      <c r="C657" s="521"/>
      <c r="D657" s="1293"/>
      <c r="E657" s="1293"/>
      <c r="F657" s="1293"/>
      <c r="I657" s="524"/>
    </row>
    <row r="658" spans="1:9" ht="14.25" customHeight="1">
      <c r="A658" s="517"/>
      <c r="B658" s="518"/>
      <c r="C658" s="521"/>
      <c r="F658" s="417"/>
      <c r="I658" s="524"/>
    </row>
    <row r="659" spans="1:9" ht="12.75" customHeight="1">
      <c r="A659" s="517"/>
      <c r="B659" s="519" t="s">
        <v>2774</v>
      </c>
      <c r="C659" s="521"/>
      <c r="D659" s="1293" t="s">
        <v>1391</v>
      </c>
      <c r="E659" s="1293"/>
      <c r="F659" s="1293"/>
      <c r="I659" s="524" t="s">
        <v>2157</v>
      </c>
    </row>
    <row r="660" spans="1:9" ht="14.4">
      <c r="A660" s="517"/>
      <c r="B660" s="518"/>
      <c r="C660" s="521"/>
      <c r="D660" s="1293"/>
      <c r="E660" s="1293"/>
      <c r="F660" s="1293"/>
      <c r="I660" s="524"/>
    </row>
    <row r="661" spans="1:9" ht="14.4">
      <c r="A661" s="518"/>
      <c r="B661" s="518"/>
      <c r="C661" s="521"/>
      <c r="D661" s="1293"/>
      <c r="E661" s="1293"/>
      <c r="F661" s="1293"/>
      <c r="I661" s="524"/>
    </row>
    <row r="662" spans="1:9" ht="14.4">
      <c r="A662" s="518"/>
      <c r="B662" s="518"/>
      <c r="C662" s="521"/>
      <c r="D662" s="1293"/>
      <c r="E662" s="1293"/>
      <c r="F662" s="1293"/>
      <c r="I662" s="524"/>
    </row>
    <row r="663" spans="1:9" ht="14.4">
      <c r="A663" s="518"/>
      <c r="B663" s="518"/>
      <c r="C663" s="521"/>
      <c r="D663" s="479"/>
      <c r="E663" s="479"/>
      <c r="F663" s="479"/>
      <c r="I663" s="524"/>
    </row>
    <row r="664" spans="1:9" ht="12.75" customHeight="1">
      <c r="A664" s="517"/>
      <c r="B664" s="519" t="s">
        <v>2774</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4">
      <c r="A680" s="518"/>
      <c r="B680" s="519" t="s">
        <v>2773</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2773</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4">
      <c r="A689" s="518"/>
      <c r="B689" s="519" t="s">
        <v>2773</v>
      </c>
      <c r="C689" s="517"/>
      <c r="D689" s="1294" t="s">
        <v>937</v>
      </c>
      <c r="E689" s="1294"/>
      <c r="F689" s="1294"/>
      <c r="H689" s="535"/>
      <c r="I689" s="517"/>
      <c r="J689" s="535"/>
      <c r="K689" s="535"/>
    </row>
    <row r="690" spans="1:11" ht="14.4">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2773</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4">
      <c r="A703" s="518"/>
      <c r="B703" s="519" t="s">
        <v>2774</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308</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308</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4">
      <c r="A727" s="518"/>
      <c r="B727" s="519" t="s">
        <v>308</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4">
      <c r="A732" s="518"/>
      <c r="B732" s="519" t="s">
        <v>308</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65"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4">
      <c r="A746" s="518"/>
      <c r="B746" s="519" t="s">
        <v>2773</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4">
      <c r="A753" s="537"/>
      <c r="B753" s="519" t="s">
        <v>2774</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4">
      <c r="A758" s="518"/>
      <c r="B758" s="519" t="s">
        <v>2774</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4">
      <c r="A762" s="518"/>
      <c r="B762" s="519" t="s">
        <v>308</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308</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2773</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2774</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4">
      <c r="A782" s="176"/>
      <c r="B782" s="519" t="s">
        <v>2774</v>
      </c>
      <c r="C782" s="1024"/>
      <c r="D782" s="1306" t="s">
        <v>1947</v>
      </c>
      <c r="E782" s="1306"/>
      <c r="F782" s="1306"/>
      <c r="G782" s="1023"/>
      <c r="I782" s="517" t="s">
        <v>2158</v>
      </c>
    </row>
    <row r="783" spans="1:9" ht="14.4">
      <c r="A783" s="176"/>
      <c r="B783" s="176"/>
      <c r="C783" s="1024"/>
      <c r="D783" s="1306"/>
      <c r="E783" s="1306"/>
      <c r="F783" s="1306"/>
      <c r="G783" s="1023"/>
      <c r="I783" s="524"/>
    </row>
    <row r="784" spans="1:9" ht="14.4">
      <c r="A784" s="176"/>
      <c r="B784" s="176"/>
      <c r="C784" s="1024"/>
      <c r="D784" s="1306"/>
      <c r="E784" s="1306"/>
      <c r="F784" s="1306"/>
      <c r="G784" s="1023"/>
      <c r="I784" s="524"/>
    </row>
    <row r="785" spans="1:9" ht="14.4">
      <c r="A785" s="176"/>
      <c r="B785" s="176"/>
      <c r="C785" s="1024"/>
      <c r="D785" s="118"/>
      <c r="E785" s="3"/>
      <c r="F785" s="3"/>
      <c r="G785" s="1023"/>
      <c r="I785" s="524"/>
    </row>
    <row r="786" spans="1:9" ht="14.4">
      <c r="A786" s="176"/>
      <c r="B786" s="519" t="s">
        <v>2774</v>
      </c>
      <c r="C786" s="1024"/>
      <c r="D786" s="1306" t="s">
        <v>1948</v>
      </c>
      <c r="E786" s="1306"/>
      <c r="F786" s="1306"/>
      <c r="G786" s="1023"/>
      <c r="I786" s="517" t="s">
        <v>2158</v>
      </c>
    </row>
    <row r="787" spans="1:9" ht="14.4">
      <c r="A787" s="176"/>
      <c r="B787" s="176"/>
      <c r="C787" s="1024"/>
      <c r="D787" s="1306"/>
      <c r="E787" s="1306"/>
      <c r="F787" s="1306"/>
      <c r="G787" s="1023"/>
      <c r="I787" s="524"/>
    </row>
    <row r="788" spans="1:9" ht="14.4">
      <c r="A788" s="176"/>
      <c r="B788" s="176"/>
      <c r="C788" s="1024"/>
      <c r="D788" s="1306"/>
      <c r="E788" s="1306"/>
      <c r="F788" s="1306"/>
      <c r="G788" s="1023"/>
      <c r="I788" s="524"/>
    </row>
    <row r="789" spans="1:9" ht="14.4">
      <c r="A789" s="176"/>
      <c r="B789" s="176"/>
      <c r="C789" s="1024"/>
      <c r="D789" s="1306"/>
      <c r="E789" s="1306"/>
      <c r="F789" s="1306"/>
      <c r="G789" s="1023"/>
      <c r="I789" s="524"/>
    </row>
    <row r="790" spans="1:9" ht="14.4">
      <c r="A790" s="176"/>
      <c r="B790" s="176"/>
      <c r="C790" s="1024"/>
      <c r="D790" s="1306"/>
      <c r="E790" s="1306"/>
      <c r="F790" s="1306"/>
      <c r="G790" s="1023"/>
      <c r="I790" s="524"/>
    </row>
    <row r="791" spans="1:9" ht="14.4">
      <c r="A791" s="176"/>
      <c r="B791" s="176"/>
      <c r="C791" s="1024"/>
      <c r="D791" s="1306"/>
      <c r="E791" s="1306"/>
      <c r="F791" s="1306"/>
      <c r="G791" s="1023"/>
      <c r="I791" s="524"/>
    </row>
    <row r="792" spans="1:9" ht="14.4">
      <c r="A792" s="176"/>
      <c r="B792" s="176"/>
      <c r="C792" s="1024"/>
      <c r="D792" s="1306" t="s">
        <v>1992</v>
      </c>
      <c r="E792" s="1306"/>
      <c r="F792" s="1306"/>
      <c r="G792" s="1023"/>
      <c r="I792" s="524"/>
    </row>
    <row r="793" spans="1:9" ht="14.4">
      <c r="A793" s="176"/>
      <c r="B793" s="176"/>
      <c r="C793" s="1024"/>
      <c r="D793" s="1306"/>
      <c r="E793" s="1306"/>
      <c r="F793" s="1306"/>
      <c r="G793" s="1023"/>
      <c r="I793" s="524"/>
    </row>
    <row r="794" spans="1:9" ht="14.4">
      <c r="A794" s="176"/>
      <c r="B794" s="176"/>
      <c r="C794" s="1024"/>
      <c r="D794" s="1306"/>
      <c r="E794" s="1306"/>
      <c r="F794" s="1306"/>
      <c r="G794" s="1023"/>
      <c r="I794" s="524"/>
    </row>
    <row r="795" spans="1:9" ht="14.4">
      <c r="A795" s="176"/>
      <c r="B795" s="385"/>
      <c r="C795" s="1024"/>
      <c r="D795" s="1025"/>
      <c r="E795" s="1025"/>
      <c r="F795" s="1025"/>
      <c r="G795" s="1023"/>
      <c r="I795" s="524"/>
    </row>
    <row r="796" spans="1:9" ht="14.4">
      <c r="A796" s="176"/>
      <c r="B796" s="519" t="s">
        <v>2774</v>
      </c>
      <c r="C796" s="1024"/>
      <c r="D796" s="1306" t="s">
        <v>1949</v>
      </c>
      <c r="E796" s="1306"/>
      <c r="F796" s="1306"/>
      <c r="G796" s="1023"/>
      <c r="I796" s="517" t="s">
        <v>2158</v>
      </c>
    </row>
    <row r="797" spans="1:9" ht="14.4">
      <c r="A797" s="176"/>
      <c r="B797" s="176"/>
      <c r="C797" s="1024"/>
      <c r="D797" s="1306"/>
      <c r="E797" s="1306"/>
      <c r="F797" s="1306"/>
      <c r="G797" s="1023"/>
      <c r="I797" s="524"/>
    </row>
    <row r="798" spans="1:9" ht="14.4">
      <c r="A798" s="176"/>
      <c r="B798" s="176"/>
      <c r="C798" s="1024"/>
      <c r="D798" s="1306"/>
      <c r="E798" s="1306"/>
      <c r="F798" s="1306"/>
      <c r="G798" s="1023"/>
      <c r="I798" s="524"/>
    </row>
    <row r="799" spans="1:9" ht="14.4">
      <c r="A799" s="176"/>
      <c r="B799" s="176"/>
      <c r="C799" s="1024"/>
      <c r="D799" s="1306"/>
      <c r="E799" s="1306"/>
      <c r="F799" s="1306"/>
      <c r="G799" s="1023"/>
      <c r="I799" s="524"/>
    </row>
    <row r="800" spans="1:9" ht="14.4">
      <c r="A800" s="176"/>
      <c r="B800" s="176"/>
      <c r="C800" s="1024"/>
      <c r="D800" s="1306"/>
      <c r="E800" s="1306"/>
      <c r="F800" s="1306"/>
      <c r="G800" s="1023"/>
      <c r="I800" s="524"/>
    </row>
    <row r="801" spans="1:9" ht="14.4">
      <c r="A801" s="176"/>
      <c r="B801" s="176"/>
      <c r="C801" s="1024"/>
      <c r="D801" s="1306"/>
      <c r="E801" s="1306"/>
      <c r="F801" s="1306"/>
      <c r="G801" s="1023"/>
      <c r="I801" s="524"/>
    </row>
    <row r="802" spans="1:9" ht="14.4">
      <c r="A802" s="176"/>
      <c r="B802" s="176"/>
      <c r="C802" s="1024"/>
      <c r="D802" s="1017"/>
      <c r="E802" s="1017"/>
      <c r="F802" s="1017"/>
      <c r="G802" s="1023"/>
      <c r="I802" s="524"/>
    </row>
    <row r="803" spans="1:9" ht="14.4">
      <c r="A803" s="176"/>
      <c r="B803" s="519" t="s">
        <v>2774</v>
      </c>
      <c r="C803" s="1024"/>
      <c r="D803" s="1306" t="s">
        <v>1950</v>
      </c>
      <c r="E803" s="1306"/>
      <c r="F803" s="1306"/>
      <c r="G803" s="1023"/>
      <c r="I803" s="517" t="s">
        <v>2158</v>
      </c>
    </row>
    <row r="804" spans="1:9" ht="14.4">
      <c r="A804" s="176"/>
      <c r="B804" s="176"/>
      <c r="C804" s="1024"/>
      <c r="D804" s="1306"/>
      <c r="E804" s="1306"/>
      <c r="F804" s="1306"/>
      <c r="G804" s="1023"/>
      <c r="I804" s="524"/>
    </row>
    <row r="805" spans="1:9" ht="14.4">
      <c r="A805" s="176"/>
      <c r="B805" s="176"/>
      <c r="C805" s="1024"/>
      <c r="D805" s="1306"/>
      <c r="E805" s="1306"/>
      <c r="F805" s="1306"/>
      <c r="G805" s="1023"/>
      <c r="I805" s="524"/>
    </row>
    <row r="806" spans="1:9" ht="14.4">
      <c r="A806" s="176"/>
      <c r="B806" s="176"/>
      <c r="C806" s="1024"/>
      <c r="D806" s="1306"/>
      <c r="E806" s="1306"/>
      <c r="F806" s="1306"/>
      <c r="G806" s="1023"/>
      <c r="I806" s="524"/>
    </row>
    <row r="807" spans="1:9" ht="14.4">
      <c r="A807" s="176"/>
      <c r="B807" s="176"/>
      <c r="C807" s="1024"/>
      <c r="D807" s="1306"/>
      <c r="E807" s="1306"/>
      <c r="F807" s="1306"/>
      <c r="G807" s="1023"/>
      <c r="I807" s="524"/>
    </row>
    <row r="808" spans="1:9" ht="14.4">
      <c r="A808" s="176"/>
      <c r="B808" s="176"/>
      <c r="C808" s="1024"/>
      <c r="D808" s="1306"/>
      <c r="E808" s="1306"/>
      <c r="F808" s="1306"/>
      <c r="G808" s="1023"/>
      <c r="I808" s="524"/>
    </row>
    <row r="809" spans="1:9" ht="14.4">
      <c r="A809" s="176"/>
      <c r="B809" s="176"/>
      <c r="C809" s="1024"/>
      <c r="D809" s="1017"/>
      <c r="E809" s="1017"/>
      <c r="F809" s="1017"/>
      <c r="G809" s="1023"/>
      <c r="I809" s="524"/>
    </row>
    <row r="810" spans="1:9" ht="14.4">
      <c r="A810" s="176"/>
      <c r="B810" s="519" t="s">
        <v>2774</v>
      </c>
      <c r="C810" s="1024"/>
      <c r="D810" s="1303" t="s">
        <v>1951</v>
      </c>
      <c r="E810" s="1303"/>
      <c r="F810" s="1303"/>
      <c r="G810" s="1023"/>
      <c r="I810" s="517" t="s">
        <v>2158</v>
      </c>
    </row>
    <row r="811" spans="1:9" ht="14.4">
      <c r="A811" s="176"/>
      <c r="B811" s="176"/>
      <c r="C811" s="1024"/>
      <c r="D811" s="1303"/>
      <c r="E811" s="1303"/>
      <c r="F811" s="1303"/>
      <c r="G811" s="1023"/>
      <c r="I811" s="524"/>
    </row>
    <row r="812" spans="1:9">
      <c r="A812" s="13"/>
      <c r="B812" s="13"/>
      <c r="C812" s="1024"/>
      <c r="D812" s="1303"/>
      <c r="E812" s="1303"/>
      <c r="F812" s="1303"/>
      <c r="G812" s="1023"/>
      <c r="I812" s="524"/>
    </row>
    <row r="813" spans="1:9" ht="14.4">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2773</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2773</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2774</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2774</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2773</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2773</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2774</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2774</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2774</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2773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2773</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2773</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2774</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2774</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2774</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2774</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2774</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2773</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2773</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2774</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2774</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2774</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2773</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2773</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2774</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2774</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2773</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2773</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2774</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2774</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2774</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2774</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2774</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2774</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2773</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2774</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2774</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2773</v>
      </c>
      <c r="C1050" s="433"/>
      <c r="D1050" s="433" t="s">
        <v>2002</v>
      </c>
      <c r="I1050" s="524" t="s">
        <v>2114</v>
      </c>
    </row>
    <row r="1051" spans="1:9">
      <c r="A1051" s="433"/>
      <c r="B1051" s="433"/>
      <c r="C1051" s="433"/>
      <c r="I1051" s="524"/>
    </row>
    <row r="1052" spans="1:9">
      <c r="A1052" s="433"/>
      <c r="B1052" s="519" t="s">
        <v>2773</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2773</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2774</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2774</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2774</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2774</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2774</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2774</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2773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2774</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46" zoomScale="120" zoomScaleNormal="120" workbookViewId="0">
      <selection activeCell="W466" sqref="W466:Y466"/>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 customHeight="1">
      <c r="A12" s="1442" t="s">
        <v>2640</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400" t="s">
        <v>2642</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 customHeight="1"/>
    <row r="18" spans="1:52" ht="12.9" customHeight="1">
      <c r="A18" s="57" t="s">
        <v>101</v>
      </c>
      <c r="C18" s="4"/>
      <c r="D18" s="4"/>
      <c r="E18" s="4"/>
      <c r="F18" s="4"/>
      <c r="G18" s="4"/>
      <c r="H18" s="1397" t="s">
        <v>2643</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 customHeight="1"/>
    <row r="20" spans="1:52" ht="12.9"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399">
        <f>'Basis &amp; Credits'!AB56</f>
        <v>3306698</v>
      </c>
      <c r="N26" s="1399"/>
      <c r="O26" s="1399"/>
      <c r="P26" s="1399"/>
      <c r="Q26" s="1399"/>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68">
        <f>'Basis &amp; Credits'!AB78</f>
        <v>0</v>
      </c>
      <c r="N27" s="1368"/>
      <c r="O27" s="1368"/>
      <c r="P27" s="1368"/>
      <c r="Q27" s="1368"/>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379" t="s">
        <v>678</v>
      </c>
      <c r="P33" s="1379"/>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 customHeight="1">
      <c r="A38" s="3"/>
      <c r="AZ38" s="20"/>
    </row>
    <row r="39" spans="1:52" ht="12.9"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799" t="s">
        <v>2519</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row>
    <row r="76" spans="1:52" ht="12.9"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row>
    <row r="77" spans="1:52" ht="12.9"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798" t="s">
        <v>2523</v>
      </c>
      <c r="B89" s="1798"/>
      <c r="C89" s="1798"/>
      <c r="D89" s="1798"/>
      <c r="E89" s="1798"/>
      <c r="F89" s="1798"/>
      <c r="G89" s="1798"/>
      <c r="H89" s="1798"/>
      <c r="I89" s="1798"/>
      <c r="J89" s="1798"/>
      <c r="K89" s="1798"/>
      <c r="L89" s="1798"/>
      <c r="M89" s="1798"/>
      <c r="N89" s="1798"/>
      <c r="O89" s="1798"/>
      <c r="P89" s="1798"/>
      <c r="Q89" s="1798"/>
      <c r="R89" s="1798"/>
      <c r="S89" s="1798"/>
      <c r="T89" s="1798"/>
      <c r="U89" s="1798"/>
      <c r="V89" s="1798"/>
      <c r="W89" s="1798"/>
      <c r="X89" s="1798"/>
      <c r="Y89" s="1798"/>
      <c r="Z89" s="1798"/>
      <c r="AA89" s="1798"/>
      <c r="AB89" s="1798"/>
      <c r="AC89" s="1798"/>
      <c r="AD89" s="1798"/>
      <c r="AE89" s="1798"/>
      <c r="AF89" s="1798"/>
      <c r="AG89" s="1798"/>
      <c r="AH89" s="1798"/>
      <c r="AI89" s="1798"/>
      <c r="AJ89" s="1798"/>
      <c r="AK89" s="1798"/>
      <c r="AL89" s="1798"/>
      <c r="AM89" s="1798"/>
      <c r="AN89" s="1798"/>
      <c r="AO89" s="1798"/>
      <c r="AP89" s="1798"/>
      <c r="AQ89" s="1798"/>
      <c r="AR89" s="1798"/>
      <c r="AS89" s="1798"/>
      <c r="AT89" s="1798"/>
      <c r="AU89" s="17"/>
      <c r="AV89" s="17"/>
      <c r="AW89" s="17"/>
      <c r="AX89" s="17"/>
      <c r="AY89" s="17"/>
      <c r="AZ89" s="20"/>
    </row>
    <row r="90" spans="1:52" ht="12.9" customHeight="1">
      <c r="A90" s="1798"/>
      <c r="B90" s="1798"/>
      <c r="C90" s="1798"/>
      <c r="D90" s="1798"/>
      <c r="E90" s="1798"/>
      <c r="F90" s="1798"/>
      <c r="G90" s="1798"/>
      <c r="H90" s="1798"/>
      <c r="I90" s="1798"/>
      <c r="J90" s="1798"/>
      <c r="K90" s="1798"/>
      <c r="L90" s="1798"/>
      <c r="M90" s="1798"/>
      <c r="N90" s="1798"/>
      <c r="O90" s="1798"/>
      <c r="P90" s="1798"/>
      <c r="Q90" s="1798"/>
      <c r="R90" s="1798"/>
      <c r="S90" s="1798"/>
      <c r="T90" s="1798"/>
      <c r="U90" s="1798"/>
      <c r="V90" s="1798"/>
      <c r="W90" s="1798"/>
      <c r="X90" s="1798"/>
      <c r="Y90" s="1798"/>
      <c r="Z90" s="1798"/>
      <c r="AA90" s="1798"/>
      <c r="AB90" s="1798"/>
      <c r="AC90" s="1798"/>
      <c r="AD90" s="1798"/>
      <c r="AE90" s="1798"/>
      <c r="AF90" s="1798"/>
      <c r="AG90" s="1798"/>
      <c r="AH90" s="1798"/>
      <c r="AI90" s="1798"/>
      <c r="AJ90" s="1798"/>
      <c r="AK90" s="1798"/>
      <c r="AL90" s="1798"/>
      <c r="AM90" s="1798"/>
      <c r="AN90" s="1798"/>
      <c r="AO90" s="1798"/>
      <c r="AP90" s="1798"/>
      <c r="AQ90" s="1798"/>
      <c r="AR90" s="1798"/>
      <c r="AS90" s="1798"/>
      <c r="AT90" s="1798"/>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799" t="s">
        <v>2524</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row>
    <row r="93" spans="1:52" ht="12.9"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row>
    <row r="94" spans="1:52" ht="12.9"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row>
    <row r="95" spans="1:52" ht="12.9"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row>
    <row r="96" spans="1:52" ht="12.9"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row>
    <row r="97" spans="1:52" ht="12.9"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row>
    <row r="98" spans="1:52" ht="12.9"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781"/>
      <c r="H113" s="1781"/>
      <c r="I113" s="3" t="s">
        <v>182</v>
      </c>
      <c r="L113" s="1781"/>
      <c r="M113" s="1781"/>
      <c r="N113" s="1781"/>
      <c r="O113" s="1781"/>
      <c r="P113" s="1801" t="s">
        <v>2528</v>
      </c>
      <c r="Q113" s="1801"/>
      <c r="R113" s="1801"/>
      <c r="S113" s="180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807"/>
      <c r="D115" s="1807"/>
      <c r="E115" s="1807"/>
      <c r="F115" s="1807"/>
      <c r="G115" s="1807"/>
      <c r="H115" s="1807"/>
      <c r="I115" s="1807"/>
      <c r="J115" s="1807"/>
      <c r="K115" s="1807"/>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781"/>
      <c r="Z117" s="1781"/>
      <c r="AA117" s="1781"/>
      <c r="AB117" s="1781"/>
      <c r="AC117" s="1781"/>
      <c r="AD117" s="1781"/>
      <c r="AE117" s="1781"/>
      <c r="AF117" s="1781"/>
      <c r="AG117" s="1781"/>
      <c r="AH117" s="1781"/>
      <c r="AI117" s="1781"/>
      <c r="AJ117" s="1781"/>
      <c r="AK117" s="1781"/>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781"/>
      <c r="Z120" s="1781"/>
      <c r="AA120" s="1781"/>
      <c r="AB120" s="1781"/>
      <c r="AC120" s="1781"/>
      <c r="AD120" s="1781"/>
      <c r="AE120" s="1781"/>
      <c r="AF120" s="1781"/>
      <c r="AG120" s="1781"/>
      <c r="AH120" s="1781"/>
      <c r="AI120" s="1781"/>
      <c r="AJ120" s="1781"/>
      <c r="AK120" s="1781"/>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781"/>
      <c r="Z123" s="1781"/>
      <c r="AA123" s="1781"/>
      <c r="AB123" s="1781"/>
      <c r="AC123" s="1781"/>
      <c r="AD123" s="1781"/>
      <c r="AE123" s="1781"/>
      <c r="AF123" s="1781"/>
      <c r="AG123" s="1781"/>
      <c r="AH123" s="1781"/>
      <c r="AI123" s="1781"/>
      <c r="AJ123" s="1781"/>
      <c r="AK123" s="1781"/>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397" t="s">
        <v>2644</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 customHeight="1">
      <c r="D154" s="325" t="s">
        <v>442</v>
      </c>
      <c r="O154" s="1583" t="s">
        <v>2645</v>
      </c>
      <c r="P154" s="1445"/>
      <c r="Q154" s="1445"/>
      <c r="R154" s="1445"/>
      <c r="S154" s="1445"/>
      <c r="T154" s="1445"/>
      <c r="U154" s="1445"/>
      <c r="V154" s="1445"/>
      <c r="W154" s="1445"/>
      <c r="X154" s="1445"/>
      <c r="Y154" s="1445"/>
      <c r="Z154" s="1445"/>
      <c r="AA154" s="1445"/>
      <c r="AB154" s="1445"/>
      <c r="AC154" s="1445"/>
      <c r="AD154" s="1445"/>
      <c r="AE154" s="1445"/>
      <c r="AF154" s="1445"/>
      <c r="AG154" s="1445"/>
      <c r="AH154" s="1445"/>
    </row>
    <row r="155" spans="1:72" ht="12.9" customHeight="1">
      <c r="D155" s="8" t="s">
        <v>444</v>
      </c>
      <c r="F155" s="8"/>
      <c r="G155" s="8"/>
      <c r="H155" s="8"/>
      <c r="I155" s="8"/>
      <c r="J155" s="8"/>
      <c r="K155" s="8"/>
      <c r="L155" s="8"/>
      <c r="M155" s="8"/>
      <c r="N155" s="8"/>
      <c r="O155" s="1797" t="s">
        <v>443</v>
      </c>
      <c r="P155" s="1797"/>
      <c r="Q155" s="1797"/>
      <c r="R155" s="1797"/>
      <c r="S155" s="1797"/>
      <c r="T155" s="1797"/>
      <c r="U155" s="1797"/>
      <c r="V155" s="1797"/>
      <c r="W155" s="1797"/>
      <c r="X155" s="1797"/>
      <c r="Y155" s="1797"/>
      <c r="Z155" s="1797"/>
      <c r="AA155" s="1797"/>
      <c r="AB155" s="1797"/>
      <c r="AC155" s="1797"/>
      <c r="AD155" s="1797"/>
      <c r="AE155" s="1797"/>
      <c r="AF155" s="1797"/>
      <c r="AG155" s="1797"/>
      <c r="AH155" s="1797"/>
    </row>
    <row r="156" spans="1:72" ht="12.9" customHeight="1">
      <c r="D156" t="s">
        <v>314</v>
      </c>
      <c r="O156" s="1380" t="s">
        <v>2646</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 customHeight="1">
      <c r="D157" t="s">
        <v>315</v>
      </c>
      <c r="O157" s="1397" t="s">
        <v>2647</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 customHeight="1">
      <c r="D158" t="s">
        <v>316</v>
      </c>
      <c r="O158" s="1783">
        <v>94704</v>
      </c>
      <c r="P158" s="1783"/>
      <c r="Q158" s="1783"/>
      <c r="R158" s="1783"/>
      <c r="S158" s="9"/>
      <c r="T158" s="9"/>
      <c r="U158" s="9"/>
      <c r="V158" s="9"/>
      <c r="W158" s="9"/>
      <c r="X158" s="9"/>
      <c r="Y158" s="9"/>
      <c r="Z158" s="9"/>
      <c r="AA158" s="9"/>
      <c r="AB158" s="9"/>
      <c r="AC158" s="9"/>
      <c r="AD158" s="9"/>
      <c r="AE158" s="9"/>
      <c r="AF158" s="9"/>
      <c r="BN158" s="23" t="s">
        <v>646</v>
      </c>
      <c r="BT158" t="s">
        <v>486</v>
      </c>
    </row>
    <row r="159" spans="1:72" ht="12.9" customHeight="1">
      <c r="D159" t="s">
        <v>317</v>
      </c>
      <c r="O159" s="1785" t="s">
        <v>2648</v>
      </c>
      <c r="P159" s="1785"/>
      <c r="Q159" s="1785"/>
      <c r="R159" s="1785"/>
      <c r="S159" s="1785"/>
      <c r="T159" s="1785"/>
      <c r="V159" s="97" t="s">
        <v>272</v>
      </c>
      <c r="W159" s="1784"/>
      <c r="X159" s="1784"/>
      <c r="Y159" s="10"/>
      <c r="Z159" s="10"/>
      <c r="AA159" s="10"/>
      <c r="AB159" s="10"/>
      <c r="AC159" s="10"/>
      <c r="AD159" s="10"/>
      <c r="AE159" s="10"/>
      <c r="AF159" s="10"/>
      <c r="BN159" s="23" t="s">
        <v>340</v>
      </c>
      <c r="BT159" t="s">
        <v>487</v>
      </c>
    </row>
    <row r="160" spans="1:72" ht="12.9" customHeight="1">
      <c r="D160" t="s">
        <v>318</v>
      </c>
      <c r="O160" s="1785" t="str">
        <f>O159</f>
        <v>510-981-7099</v>
      </c>
      <c r="P160" s="1785"/>
      <c r="Q160" s="1785"/>
      <c r="R160" s="1785"/>
      <c r="S160" s="1785"/>
      <c r="T160" s="1785"/>
      <c r="U160" s="10"/>
      <c r="V160" s="10"/>
      <c r="W160" s="10"/>
      <c r="X160" s="10"/>
      <c r="Y160" s="10"/>
      <c r="Z160" s="10"/>
      <c r="AA160" s="10"/>
      <c r="AB160" s="10"/>
      <c r="AC160" s="10"/>
      <c r="AD160" s="10"/>
      <c r="AE160" s="10"/>
      <c r="AF160" s="10"/>
      <c r="BN160" s="23" t="s">
        <v>669</v>
      </c>
      <c r="BT160" t="s">
        <v>488</v>
      </c>
    </row>
    <row r="161" spans="1:72" ht="12.9" customHeight="1">
      <c r="D161" t="s">
        <v>319</v>
      </c>
      <c r="O161" s="1777" t="s">
        <v>2649</v>
      </c>
      <c r="P161" s="1777"/>
      <c r="Q161" s="1777"/>
      <c r="R161" s="1777"/>
      <c r="S161" s="1777"/>
      <c r="T161" s="1777"/>
      <c r="U161" s="1777"/>
      <c r="V161" s="1777"/>
      <c r="W161" s="1777"/>
      <c r="X161" s="1777"/>
      <c r="Y161" s="1777"/>
      <c r="Z161" s="1777"/>
      <c r="AA161" s="1777"/>
      <c r="AB161" s="1777"/>
      <c r="AC161" s="1777"/>
      <c r="AD161" s="1777"/>
      <c r="AE161" s="1777"/>
      <c r="AF161" s="1777"/>
      <c r="AG161" s="1777"/>
      <c r="AH161" s="1777"/>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808" t="s">
        <v>2623</v>
      </c>
      <c r="E164" s="1808"/>
      <c r="F164" s="1808"/>
      <c r="G164" s="1808"/>
      <c r="H164" s="1808"/>
      <c r="I164" s="1808"/>
      <c r="J164" s="1808"/>
      <c r="K164" s="1808"/>
      <c r="L164" s="1808"/>
      <c r="M164" s="1808"/>
      <c r="N164" s="1808"/>
      <c r="O164" s="1808"/>
      <c r="P164" s="1808"/>
      <c r="Q164" s="1808"/>
      <c r="R164" s="1808"/>
      <c r="S164" s="1808"/>
      <c r="T164" s="1808"/>
      <c r="U164" s="1808"/>
      <c r="V164" s="1808"/>
      <c r="W164" s="1808"/>
      <c r="X164" s="1808"/>
      <c r="Y164" s="1808"/>
      <c r="Z164" s="1808"/>
      <c r="AA164" s="1808"/>
      <c r="AB164" s="1808"/>
      <c r="AC164" s="1808"/>
      <c r="AD164" s="1808"/>
      <c r="AE164" s="1808"/>
      <c r="AF164" s="1808"/>
      <c r="AG164" s="1808"/>
      <c r="AH164" s="1808"/>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796" t="s">
        <v>372</v>
      </c>
      <c r="K173" s="1796"/>
      <c r="L173" s="1796"/>
      <c r="M173" s="1796"/>
      <c r="N173" s="1796"/>
      <c r="O173" s="1796"/>
      <c r="P173" s="1796"/>
      <c r="Q173" s="1796"/>
      <c r="R173" s="1796"/>
      <c r="S173" s="1796"/>
      <c r="U173" s="25"/>
      <c r="X173" s="25"/>
      <c r="BB173" s="3" t="s">
        <v>308</v>
      </c>
      <c r="BN173" s="23" t="s">
        <v>215</v>
      </c>
      <c r="BT173" t="s">
        <v>501</v>
      </c>
    </row>
    <row r="174" spans="1:72" ht="12.9"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 customHeight="1">
      <c r="C175" s="8"/>
      <c r="D175" s="3" t="s">
        <v>323</v>
      </c>
      <c r="O175" s="27"/>
      <c r="U175" s="1379" t="s">
        <v>554</v>
      </c>
      <c r="V175" s="1379"/>
      <c r="BB175" t="s">
        <v>2237</v>
      </c>
      <c r="BN175" s="23" t="s">
        <v>218</v>
      </c>
      <c r="BT175" t="s">
        <v>503</v>
      </c>
    </row>
    <row r="176" spans="1:72" ht="12.9" customHeight="1">
      <c r="C176" s="8"/>
      <c r="D176" s="26"/>
      <c r="E176" t="s">
        <v>305</v>
      </c>
      <c r="O176" s="27"/>
      <c r="P176" t="s">
        <v>2395</v>
      </c>
      <c r="T176" s="27" t="s">
        <v>306</v>
      </c>
      <c r="U176" s="1463"/>
      <c r="V176" s="1463"/>
      <c r="W176" s="1" t="s">
        <v>307</v>
      </c>
      <c r="X176" s="1800"/>
      <c r="Y176" s="1800"/>
      <c r="BB176" t="s">
        <v>2274</v>
      </c>
      <c r="BN176" s="23" t="s">
        <v>220</v>
      </c>
      <c r="BT176" t="s">
        <v>504</v>
      </c>
    </row>
    <row r="177" spans="1:72" ht="12.9" customHeight="1">
      <c r="C177" s="24"/>
      <c r="D177" t="s">
        <v>250</v>
      </c>
      <c r="R177" s="1379"/>
      <c r="S177" s="1379"/>
      <c r="BB177" t="s">
        <v>2577</v>
      </c>
      <c r="BN177" s="23" t="s">
        <v>221</v>
      </c>
      <c r="BT177" t="s">
        <v>505</v>
      </c>
    </row>
    <row r="178" spans="1:72" ht="12.9" customHeight="1">
      <c r="C178" s="24"/>
      <c r="D178" s="3" t="s">
        <v>1310</v>
      </c>
      <c r="AA178" t="s">
        <v>2395</v>
      </c>
      <c r="AE178" s="27" t="s">
        <v>306</v>
      </c>
      <c r="AF178" s="1790"/>
      <c r="AG178" s="1790"/>
      <c r="AH178" s="1" t="s">
        <v>307</v>
      </c>
      <c r="AI178" s="1694"/>
      <c r="AJ178" s="1694"/>
      <c r="AK178" s="1694"/>
      <c r="BB178" t="s">
        <v>2578</v>
      </c>
      <c r="BN178" s="23" t="s">
        <v>222</v>
      </c>
      <c r="BT178" t="s">
        <v>53</v>
      </c>
    </row>
    <row r="179" spans="1:72" ht="12.9" customHeight="1">
      <c r="C179" s="24"/>
      <c r="BN179" s="23" t="s">
        <v>223</v>
      </c>
      <c r="BT179" t="s">
        <v>54</v>
      </c>
    </row>
    <row r="180" spans="1:72" ht="12.9" customHeight="1">
      <c r="C180" s="24"/>
      <c r="D180" t="s">
        <v>2396</v>
      </c>
      <c r="X180" s="1379" t="s">
        <v>678</v>
      </c>
      <c r="Y180" s="1379"/>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459" t="str">
        <f>H18</f>
        <v xml:space="preserve">Ephesian Legacy Court </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596</v>
      </c>
      <c r="BN184" s="23" t="s">
        <v>231</v>
      </c>
      <c r="BT184" t="s">
        <v>62</v>
      </c>
    </row>
    <row r="185" spans="1:72" ht="12.9" customHeight="1">
      <c r="C185" s="21"/>
      <c r="D185" t="s">
        <v>588</v>
      </c>
      <c r="I185" s="1433" t="s">
        <v>2650</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 customHeight="1">
      <c r="C186" s="21"/>
      <c r="E186" t="s">
        <v>168</v>
      </c>
      <c r="BN186" s="23" t="s">
        <v>233</v>
      </c>
      <c r="BT186" t="s">
        <v>64</v>
      </c>
    </row>
    <row r="187" spans="1:72" ht="12.9" customHeight="1">
      <c r="C187" s="21"/>
      <c r="E187" s="1787"/>
      <c r="F187" s="1787"/>
      <c r="G187" s="1787"/>
      <c r="H187" s="1787"/>
      <c r="I187" s="1787"/>
      <c r="J187" s="1787"/>
      <c r="K187" s="1787"/>
      <c r="L187" s="1787"/>
      <c r="M187" s="1787"/>
      <c r="N187" s="1787"/>
      <c r="O187" s="1787"/>
      <c r="P187" s="1787"/>
      <c r="Q187" s="1787"/>
      <c r="R187" s="1787"/>
      <c r="S187" s="1787"/>
      <c r="T187" s="1787"/>
      <c r="U187" s="1787"/>
      <c r="V187" s="1787"/>
      <c r="W187" s="1787"/>
      <c r="X187" s="1787"/>
      <c r="Y187" s="1787"/>
      <c r="Z187" s="1787"/>
      <c r="AA187" s="1787"/>
      <c r="AB187" s="1787"/>
      <c r="AC187" s="1787"/>
      <c r="AD187" s="1787"/>
      <c r="AE187" s="1787"/>
      <c r="BN187" s="23" t="s">
        <v>234</v>
      </c>
      <c r="BT187" t="s">
        <v>65</v>
      </c>
    </row>
    <row r="188" spans="1:72" ht="12.9" customHeight="1">
      <c r="C188" s="21"/>
      <c r="E188" s="1788"/>
      <c r="F188" s="1788"/>
      <c r="G188" s="1788"/>
      <c r="H188" s="1788"/>
      <c r="I188" s="1788"/>
      <c r="J188" s="1788"/>
      <c r="K188" s="1788"/>
      <c r="L188" s="1788"/>
      <c r="M188" s="1788"/>
      <c r="N188" s="1788"/>
      <c r="O188" s="1788"/>
      <c r="P188" s="1788"/>
      <c r="Q188" s="1788"/>
      <c r="R188" s="1788"/>
      <c r="S188" s="1788"/>
      <c r="T188" s="1788"/>
      <c r="U188" s="1788"/>
      <c r="V188" s="1788"/>
      <c r="W188" s="1788"/>
      <c r="X188" s="1788"/>
      <c r="Y188" s="1788"/>
      <c r="Z188" s="1788"/>
      <c r="AA188" s="1788"/>
      <c r="AB188" s="1788"/>
      <c r="AC188" s="1788"/>
      <c r="AD188" s="1788"/>
      <c r="AE188" s="1788"/>
      <c r="BN188" s="23" t="s">
        <v>236</v>
      </c>
      <c r="BT188" t="s">
        <v>66</v>
      </c>
    </row>
    <row r="189" spans="1:72" ht="12.9" customHeight="1">
      <c r="C189" s="21"/>
      <c r="D189" t="s">
        <v>589</v>
      </c>
      <c r="I189" s="1380" t="s">
        <v>2651</v>
      </c>
      <c r="J189" s="1380"/>
      <c r="K189" s="1380"/>
      <c r="L189" s="1380"/>
      <c r="M189" s="1380"/>
      <c r="N189" s="1380"/>
      <c r="O189" s="1380"/>
      <c r="P189" s="1380"/>
      <c r="Q189" t="s">
        <v>591</v>
      </c>
      <c r="T189" s="1380" t="s">
        <v>485</v>
      </c>
      <c r="U189" s="1380"/>
      <c r="V189" s="1380"/>
      <c r="W189" s="1380"/>
      <c r="X189" s="1380"/>
      <c r="Y189" s="1380"/>
      <c r="Z189" s="1380"/>
      <c r="AA189" s="1380"/>
      <c r="AB189" s="1380"/>
      <c r="AC189" s="1380"/>
      <c r="AD189" s="1380"/>
      <c r="AE189" s="1380"/>
      <c r="BC189" t="s">
        <v>308</v>
      </c>
      <c r="BH189" s="3" t="s">
        <v>600</v>
      </c>
      <c r="BN189" s="23" t="s">
        <v>237</v>
      </c>
      <c r="BT189" t="s">
        <v>67</v>
      </c>
    </row>
    <row r="190" spans="1:72" ht="12.9" customHeight="1">
      <c r="C190" s="21"/>
      <c r="D190" t="s">
        <v>592</v>
      </c>
      <c r="I190" s="1433">
        <v>94703</v>
      </c>
      <c r="J190" s="1433"/>
      <c r="K190" s="1433"/>
      <c r="L190" s="1433"/>
      <c r="M190" s="1433"/>
      <c r="N190" s="1433"/>
      <c r="O190" t="s">
        <v>594</v>
      </c>
      <c r="T190" s="1791">
        <v>424001</v>
      </c>
      <c r="U190" s="1791"/>
      <c r="V190" s="1791"/>
      <c r="W190" s="1791"/>
      <c r="X190" s="1791"/>
      <c r="Y190" s="1791"/>
      <c r="Z190" s="1791"/>
      <c r="AA190" s="1791"/>
      <c r="AB190" s="1791"/>
      <c r="AC190" s="1791"/>
      <c r="AD190" s="1791"/>
      <c r="AE190" s="1791"/>
      <c r="BC190" t="s">
        <v>1066</v>
      </c>
      <c r="BH190" t="s">
        <v>1066</v>
      </c>
      <c r="BN190" s="23" t="s">
        <v>644</v>
      </c>
      <c r="BT190" t="s">
        <v>68</v>
      </c>
    </row>
    <row r="191" spans="1:72" ht="12.9" customHeight="1">
      <c r="C191" s="21"/>
      <c r="D191" t="s">
        <v>471</v>
      </c>
      <c r="N191" s="1787" t="s">
        <v>2652</v>
      </c>
      <c r="O191" s="1787"/>
      <c r="P191" s="1787"/>
      <c r="Q191" s="1787"/>
      <c r="R191" s="1787"/>
      <c r="S191" s="1787"/>
      <c r="T191" s="1787"/>
      <c r="U191" s="1787"/>
      <c r="V191" s="1787"/>
      <c r="W191" s="1787"/>
      <c r="X191" s="1787"/>
      <c r="Y191" s="1787"/>
      <c r="Z191" s="1787"/>
      <c r="AA191" s="1787"/>
      <c r="AB191" s="1787"/>
      <c r="AC191" s="1787"/>
      <c r="AD191" s="1787"/>
      <c r="AE191" s="1787"/>
      <c r="BC191" t="s">
        <v>1065</v>
      </c>
      <c r="BH191" t="s">
        <v>1065</v>
      </c>
      <c r="BN191" s="23" t="s">
        <v>698</v>
      </c>
      <c r="BT191" t="s">
        <v>737</v>
      </c>
    </row>
    <row r="192" spans="1:72" ht="12.9" customHeight="1">
      <c r="C192" s="21"/>
      <c r="M192" s="40"/>
      <c r="N192" s="1788"/>
      <c r="O192" s="1788"/>
      <c r="P192" s="1788"/>
      <c r="Q192" s="1788"/>
      <c r="R192" s="1788"/>
      <c r="S192" s="1788"/>
      <c r="T192" s="1788"/>
      <c r="U192" s="1788"/>
      <c r="V192" s="1788"/>
      <c r="W192" s="1788"/>
      <c r="X192" s="1788"/>
      <c r="Y192" s="1788"/>
      <c r="Z192" s="1788"/>
      <c r="AA192" s="1788"/>
      <c r="AB192" s="1788"/>
      <c r="AC192" s="1788"/>
      <c r="AD192" s="1788"/>
      <c r="AE192" s="1788"/>
      <c r="BC192" t="s">
        <v>1068</v>
      </c>
      <c r="BH192" s="3" t="s">
        <v>1474</v>
      </c>
      <c r="BN192" s="23" t="s">
        <v>699</v>
      </c>
      <c r="BT192" t="s">
        <v>738</v>
      </c>
    </row>
    <row r="193" spans="1:74" ht="12.9" customHeight="1">
      <c r="C193" s="21"/>
      <c r="D193" t="s">
        <v>2397</v>
      </c>
      <c r="M193" s="40"/>
      <c r="N193" s="928"/>
      <c r="O193" s="928"/>
      <c r="P193" s="928"/>
      <c r="Q193" s="928"/>
      <c r="R193" s="928"/>
      <c r="S193" s="928"/>
      <c r="T193" s="1780" t="s">
        <v>2237</v>
      </c>
      <c r="U193" s="1780"/>
      <c r="V193" s="1780"/>
      <c r="W193" s="1780"/>
      <c r="X193" s="1780"/>
      <c r="Y193" s="1780"/>
      <c r="Z193" s="1780"/>
      <c r="AA193" s="1780"/>
      <c r="AB193" s="1780"/>
      <c r="AC193" s="1780"/>
      <c r="AD193" s="1780"/>
      <c r="AE193" s="1780"/>
      <c r="AF193" s="1780"/>
      <c r="AG193" s="1780"/>
      <c r="AH193" s="1780"/>
      <c r="AI193" s="1780"/>
      <c r="BC193" t="s">
        <v>1067</v>
      </c>
      <c r="BH193" s="3" t="s">
        <v>1741</v>
      </c>
      <c r="BN193" s="23" t="s">
        <v>700</v>
      </c>
      <c r="BT193" t="s">
        <v>739</v>
      </c>
    </row>
    <row r="194" spans="1:74" ht="12.9" customHeight="1">
      <c r="C194" s="21"/>
      <c r="D194" s="3" t="s">
        <v>2579</v>
      </c>
      <c r="M194" s="40"/>
      <c r="N194" s="928"/>
      <c r="O194" s="928"/>
      <c r="P194" s="928"/>
      <c r="Q194" s="928"/>
      <c r="R194" s="928"/>
      <c r="S194" s="928"/>
      <c r="AH194" s="1379" t="s">
        <v>678</v>
      </c>
      <c r="AI194" s="1379"/>
      <c r="BC194" t="s">
        <v>1474</v>
      </c>
      <c r="BN194" s="23" t="s">
        <v>701</v>
      </c>
      <c r="BT194" t="s">
        <v>740</v>
      </c>
    </row>
    <row r="195" spans="1:74" ht="12.9" customHeight="1">
      <c r="C195" s="21"/>
      <c r="D195" t="s">
        <v>332</v>
      </c>
      <c r="T195" s="1379" t="s">
        <v>554</v>
      </c>
      <c r="U195" s="1379"/>
      <c r="W195" t="s">
        <v>694</v>
      </c>
      <c r="AH195" s="1379">
        <v>12</v>
      </c>
      <c r="AI195" s="1379"/>
      <c r="BC195" t="s">
        <v>2047</v>
      </c>
      <c r="BN195" s="23" t="s">
        <v>243</v>
      </c>
      <c r="BT195" t="s">
        <v>741</v>
      </c>
    </row>
    <row r="196" spans="1:74" ht="12.9" customHeight="1">
      <c r="C196" s="21"/>
      <c r="D196" t="s">
        <v>387</v>
      </c>
      <c r="T196" s="1628" t="s">
        <v>678</v>
      </c>
      <c r="U196" s="1628"/>
      <c r="W196" t="s">
        <v>695</v>
      </c>
      <c r="AH196" s="1379">
        <v>14</v>
      </c>
      <c r="AI196" s="1379"/>
      <c r="BN196" s="23" t="s">
        <v>244</v>
      </c>
      <c r="BT196" t="s">
        <v>69</v>
      </c>
    </row>
    <row r="197" spans="1:74" ht="12.9" customHeight="1">
      <c r="C197" s="21"/>
      <c r="D197" s="3" t="s">
        <v>169</v>
      </c>
      <c r="T197" s="1628" t="s">
        <v>678</v>
      </c>
      <c r="U197" s="1628"/>
      <c r="W197" t="s">
        <v>696</v>
      </c>
      <c r="AH197" s="1379">
        <v>9</v>
      </c>
      <c r="AI197" s="1379"/>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628" t="s">
        <v>600</v>
      </c>
      <c r="U198" s="162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459" t="s">
        <v>386</v>
      </c>
      <c r="E204" s="1459"/>
      <c r="F204" s="1459"/>
      <c r="G204" s="1459"/>
      <c r="H204" s="1459"/>
      <c r="I204" s="1459"/>
      <c r="J204" s="1459"/>
      <c r="K204" s="1459"/>
      <c r="L204" s="1459"/>
      <c r="M204" s="1459"/>
      <c r="P204" s="1809">
        <f>M26</f>
        <v>3306698</v>
      </c>
      <c r="Q204" s="1789"/>
      <c r="R204" s="1789"/>
      <c r="S204" s="1789"/>
      <c r="T204" s="1789"/>
      <c r="U204" s="1789"/>
      <c r="BC204" t="s">
        <v>619</v>
      </c>
      <c r="BN204" s="23" t="s">
        <v>713</v>
      </c>
      <c r="BT204" s="32" t="s">
        <v>198</v>
      </c>
      <c r="BU204" s="14"/>
    </row>
    <row r="205" spans="1:74" ht="12.9" customHeight="1">
      <c r="C205" s="21"/>
      <c r="D205" s="1786" t="s">
        <v>1356</v>
      </c>
      <c r="E205" s="1459"/>
      <c r="F205" s="1459"/>
      <c r="G205" s="1459"/>
      <c r="H205" s="1459"/>
      <c r="I205" s="1459"/>
      <c r="J205" s="1459"/>
      <c r="K205" s="1459"/>
      <c r="L205" s="1459"/>
      <c r="M205" s="1459"/>
      <c r="P205" s="1789">
        <f>M27</f>
        <v>0</v>
      </c>
      <c r="Q205" s="1789"/>
      <c r="R205" s="1789"/>
      <c r="S205" s="1789"/>
      <c r="T205" s="1789"/>
      <c r="U205" s="1789"/>
      <c r="V205" s="28"/>
      <c r="W205" s="3" t="s">
        <v>1909</v>
      </c>
      <c r="Z205" s="1795" t="s">
        <v>1291</v>
      </c>
      <c r="AA205" s="1795"/>
      <c r="AB205" s="1795"/>
      <c r="AC205" s="1795"/>
      <c r="AD205" s="1795"/>
      <c r="AE205" s="1795"/>
      <c r="AF205" s="1795"/>
      <c r="AG205" s="1795"/>
      <c r="AH205" s="1795"/>
      <c r="AI205" s="1795"/>
      <c r="AJ205" s="1795"/>
      <c r="AK205" s="1795"/>
      <c r="AL205" s="1795"/>
      <c r="AM205" s="1795"/>
      <c r="AN205" s="1795"/>
      <c r="AP205" s="1301"/>
      <c r="AQ205" s="1301"/>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398" t="s">
        <v>2653</v>
      </c>
      <c r="E208" s="1398"/>
      <c r="F208" s="1398"/>
      <c r="G208" s="1398"/>
      <c r="H208" s="1398"/>
      <c r="I208" s="1398"/>
      <c r="J208" s="1398"/>
      <c r="K208" s="1398"/>
      <c r="L208" s="1398"/>
      <c r="M208" s="1398"/>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398" t="s">
        <v>1065</v>
      </c>
      <c r="E211" s="1398"/>
      <c r="F211" s="1398"/>
      <c r="G211" s="1398"/>
      <c r="H211" s="1398"/>
      <c r="I211" s="1398"/>
      <c r="J211" s="1398"/>
      <c r="K211" s="1398"/>
      <c r="L211" s="1398"/>
      <c r="M211" s="1398"/>
      <c r="BN211" s="23" t="s">
        <v>129</v>
      </c>
      <c r="BT211" s="32" t="s">
        <v>130</v>
      </c>
    </row>
    <row r="212" spans="1:72" ht="12.9" customHeight="1">
      <c r="C212" s="21"/>
      <c r="D212" t="s">
        <v>1353</v>
      </c>
      <c r="Y212" s="1379"/>
      <c r="Z212" s="1379"/>
      <c r="AB212" s="1793">
        <f>IFERROR(Y212/AG440,"")</f>
        <v>0</v>
      </c>
      <c r="AC212" s="1794"/>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806" t="s">
        <v>600</v>
      </c>
      <c r="E214" s="1806"/>
      <c r="F214" s="1806"/>
      <c r="G214" s="1806"/>
      <c r="H214" s="1806"/>
      <c r="I214" s="1806"/>
      <c r="J214" s="1806"/>
      <c r="K214" s="1806"/>
      <c r="L214" s="1806"/>
      <c r="M214" s="1806"/>
      <c r="N214" s="1806"/>
      <c r="O214" s="1806"/>
      <c r="P214" s="1806"/>
      <c r="Q214" s="1806"/>
      <c r="R214" s="1806"/>
      <c r="S214" s="1806"/>
      <c r="T214" s="1806"/>
      <c r="U214" s="1806"/>
      <c r="V214" s="1806"/>
      <c r="W214" s="1806"/>
      <c r="X214" s="1806"/>
      <c r="Y214" s="1806"/>
      <c r="Z214" s="1806"/>
      <c r="AU214" s="21"/>
      <c r="AV214" s="21"/>
      <c r="AW214" s="21"/>
      <c r="AX214" s="21"/>
      <c r="AY214" s="21"/>
      <c r="BC214" t="s">
        <v>539</v>
      </c>
      <c r="BI214" t="s">
        <v>2633</v>
      </c>
      <c r="BN214" s="23" t="s">
        <v>327</v>
      </c>
      <c r="BT214" s="32" t="s">
        <v>206</v>
      </c>
    </row>
    <row r="215" spans="1:72" ht="12.9" customHeight="1">
      <c r="D215" s="3" t="s">
        <v>1765</v>
      </c>
      <c r="Z215" s="40"/>
      <c r="AB215" s="1805">
        <v>62</v>
      </c>
      <c r="AC215" s="1805"/>
      <c r="AD215" s="1805"/>
      <c r="AE215" s="1805"/>
      <c r="AF215" s="1805"/>
      <c r="AG215" s="1805"/>
      <c r="AH215" s="1805"/>
      <c r="AI215" s="1805"/>
      <c r="AJ215" s="1805"/>
      <c r="AK215" s="1805"/>
      <c r="AL215" s="1805"/>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805"/>
      <c r="AC216" s="1805"/>
      <c r="AD216" s="1805"/>
      <c r="AE216" s="1805"/>
      <c r="AF216" s="1805"/>
      <c r="AG216" s="1805"/>
      <c r="AH216" s="1805"/>
      <c r="AI216" s="1805"/>
      <c r="AJ216" s="1805"/>
      <c r="AK216" s="1805"/>
      <c r="AL216" s="1805"/>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398" t="s">
        <v>1093</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 customHeight="1">
      <c r="A221" s="2"/>
      <c r="B221" s="14"/>
      <c r="C221" s="2"/>
      <c r="AU221" s="95"/>
      <c r="AV221" s="95"/>
      <c r="AW221" s="95"/>
      <c r="AX221" s="95"/>
      <c r="AY221" s="95"/>
      <c r="BA221" s="3"/>
    </row>
    <row r="222" spans="1:72" ht="12.9"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554</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792" t="str">
        <f>H16</f>
        <v>Ephesian Legacy Court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397" t="s">
        <v>2654</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 customHeight="1">
      <c r="D234" s="4" t="s">
        <v>589</v>
      </c>
      <c r="E234" s="4"/>
      <c r="M234" s="1397" t="s">
        <v>2655</v>
      </c>
      <c r="N234" s="1398"/>
      <c r="O234" s="1398"/>
      <c r="P234" s="1398"/>
      <c r="Q234" s="1398"/>
      <c r="R234" s="1398"/>
      <c r="S234" s="1398"/>
      <c r="T234" s="1398"/>
      <c r="V234" s="33" t="s">
        <v>86</v>
      </c>
      <c r="W234" s="1583" t="s">
        <v>2656</v>
      </c>
      <c r="X234" s="1445"/>
      <c r="Y234" s="4" t="s">
        <v>592</v>
      </c>
      <c r="AC234" s="1398">
        <v>94801</v>
      </c>
      <c r="AD234" s="1398"/>
      <c r="AE234" s="1398"/>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397" t="s">
        <v>2657</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 customHeight="1">
      <c r="D236" s="4" t="s">
        <v>88</v>
      </c>
      <c r="E236" s="4"/>
      <c r="F236" s="4"/>
      <c r="M236" s="1449" t="s">
        <v>2658</v>
      </c>
      <c r="N236" s="1390"/>
      <c r="O236" s="1390"/>
      <c r="P236" s="1390"/>
      <c r="Q236" s="1390"/>
      <c r="R236" s="1390"/>
      <c r="S236" s="4" t="s">
        <v>207</v>
      </c>
      <c r="T236" s="4"/>
      <c r="U236" s="1445">
        <v>215</v>
      </c>
      <c r="V236" s="1445"/>
      <c r="W236" s="1445"/>
      <c r="X236" s="4" t="s">
        <v>89</v>
      </c>
      <c r="Z236" s="1449" t="s">
        <v>2659</v>
      </c>
      <c r="AA236" s="1390"/>
      <c r="AB236" s="1390"/>
      <c r="AC236" s="1390"/>
      <c r="AD236" s="1390"/>
      <c r="AE236" s="1390"/>
      <c r="AU236" s="4"/>
      <c r="AV236" s="4"/>
      <c r="AW236" s="4"/>
      <c r="AX236" s="4"/>
      <c r="AY236" s="4"/>
      <c r="AZ236" s="4"/>
      <c r="BB236" s="218" t="s">
        <v>546</v>
      </c>
      <c r="BG236" s="259">
        <f>IF(AND(AND($M$249="nonprofit",$M$257="nonprofit",$M$265="(select one)")),1,0)</f>
        <v>1</v>
      </c>
    </row>
    <row r="237" spans="1:69" ht="12.9" customHeight="1">
      <c r="D237" s="4" t="s">
        <v>90</v>
      </c>
      <c r="E237" s="4"/>
      <c r="F237" s="4"/>
      <c r="M237" s="1777" t="s">
        <v>2660</v>
      </c>
      <c r="N237" s="1777"/>
      <c r="O237" s="1777"/>
      <c r="P237" s="1777"/>
      <c r="Q237" s="1777"/>
      <c r="R237" s="1777"/>
      <c r="S237" s="1777"/>
      <c r="T237" s="1777"/>
      <c r="U237" s="1777"/>
      <c r="V237" s="1777"/>
      <c r="W237" s="1777"/>
      <c r="X237" s="1777"/>
      <c r="Y237" s="1777"/>
      <c r="Z237" s="1777"/>
      <c r="AA237" s="1777"/>
      <c r="AB237" s="1777"/>
      <c r="AC237" s="1777"/>
      <c r="AD237" s="1777"/>
      <c r="AE237" s="177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33" t="s">
        <v>378</v>
      </c>
      <c r="N238" s="1433"/>
      <c r="O238" s="1433"/>
      <c r="P238" s="1433"/>
      <c r="Q238" s="1433"/>
      <c r="R238" s="1433"/>
      <c r="S238" s="1433"/>
      <c r="T238" s="1433"/>
      <c r="U238" s="218" t="s">
        <v>922</v>
      </c>
      <c r="V238" s="218"/>
      <c r="W238" s="218"/>
      <c r="X238" s="218"/>
      <c r="Y238" s="218"/>
      <c r="Z238" s="218"/>
      <c r="AA238" s="1778" t="s">
        <v>2671</v>
      </c>
      <c r="AB238" s="1779"/>
      <c r="AC238" s="1779"/>
      <c r="AD238" s="1779"/>
      <c r="AE238" s="1779"/>
      <c r="AF238" s="1779"/>
      <c r="AG238" s="1779"/>
      <c r="AH238" s="1779"/>
      <c r="AI238" s="1779"/>
      <c r="AJ238" s="1779"/>
      <c r="AK238" s="1779"/>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380" t="s">
        <v>600</v>
      </c>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400" t="s">
        <v>2662</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2663</v>
      </c>
      <c r="AG243" s="1401"/>
      <c r="AH243" s="1401"/>
      <c r="AI243" s="1401"/>
      <c r="AJ243" s="1401"/>
      <c r="AK243" s="1401"/>
      <c r="AU243" s="4"/>
      <c r="AV243" s="4"/>
      <c r="AW243" s="4"/>
      <c r="AX243" s="4"/>
      <c r="AY243" s="4"/>
      <c r="BG243">
        <f>SUM(BG226:BG241)</f>
        <v>1</v>
      </c>
    </row>
    <row r="244" spans="1:71" ht="12.9" customHeight="1">
      <c r="A244" s="19"/>
      <c r="B244" s="4"/>
      <c r="C244" s="4"/>
      <c r="D244" s="4" t="s">
        <v>85</v>
      </c>
      <c r="E244" s="4"/>
      <c r="F244" s="4"/>
      <c r="G244" s="4"/>
      <c r="H244" s="4"/>
      <c r="I244" s="4"/>
      <c r="J244" s="4"/>
      <c r="K244" s="4"/>
      <c r="L244" s="4"/>
      <c r="M244" s="1397" t="s">
        <v>2654</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397" t="s">
        <v>2655</v>
      </c>
      <c r="N245" s="1398"/>
      <c r="O245" s="1398"/>
      <c r="P245" s="1398"/>
      <c r="Q245" s="1398"/>
      <c r="R245" s="1398"/>
      <c r="S245" s="1398"/>
      <c r="T245" s="1398"/>
      <c r="V245" s="33" t="s">
        <v>86</v>
      </c>
      <c r="W245" s="1583" t="s">
        <v>2656</v>
      </c>
      <c r="X245" s="1445"/>
      <c r="Y245" s="4" t="s">
        <v>592</v>
      </c>
      <c r="AC245" s="1398">
        <v>94801</v>
      </c>
      <c r="AD245" s="1398"/>
      <c r="AE245" s="1398"/>
      <c r="AF245" s="3" t="s">
        <v>1287</v>
      </c>
      <c r="AU245" s="4"/>
      <c r="AV245" s="4"/>
      <c r="AW245" s="4"/>
      <c r="AX245" s="4"/>
      <c r="AY245" s="4"/>
      <c r="BB245" s="4" t="s">
        <v>281</v>
      </c>
      <c r="BG245">
        <v>2</v>
      </c>
      <c r="BH245" t="s">
        <v>575</v>
      </c>
      <c r="BO245" s="257" t="str">
        <f>VLOOKUP(BG243,BG244:BH247,2,FALSE)</f>
        <v>Nonprofit</v>
      </c>
    </row>
    <row r="246" spans="1:71" ht="12.9" customHeight="1">
      <c r="A246" s="19"/>
      <c r="B246" s="4"/>
      <c r="C246" s="4"/>
      <c r="D246" s="4" t="s">
        <v>87</v>
      </c>
      <c r="E246" s="4"/>
      <c r="F246" s="4"/>
      <c r="G246" s="4"/>
      <c r="H246" s="4"/>
      <c r="I246" s="4"/>
      <c r="J246" s="4"/>
      <c r="K246" s="4"/>
      <c r="L246" s="19"/>
      <c r="M246" s="1397" t="s">
        <v>2664</v>
      </c>
      <c r="N246" s="1398"/>
      <c r="O246" s="1398"/>
      <c r="P246" s="1398"/>
      <c r="Q246" s="1398"/>
      <c r="R246" s="1398"/>
      <c r="S246" s="1398"/>
      <c r="T246" s="1398"/>
      <c r="U246" s="1398"/>
      <c r="V246" s="1398"/>
      <c r="W246" s="1398"/>
      <c r="X246" s="1398"/>
      <c r="Y246" s="1398"/>
      <c r="Z246" s="1398"/>
      <c r="AA246" s="1398"/>
      <c r="AB246" s="1398"/>
      <c r="AC246" s="1398"/>
      <c r="AD246" s="1398"/>
      <c r="AE246" s="1398"/>
      <c r="AH246" s="1782">
        <v>0.5</v>
      </c>
      <c r="AI246" s="1782"/>
      <c r="AJ246" s="1782"/>
      <c r="AK246" s="1782"/>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49" t="s">
        <v>2658</v>
      </c>
      <c r="N247" s="1390"/>
      <c r="O247" s="1390"/>
      <c r="P247" s="1390"/>
      <c r="Q247" s="1390"/>
      <c r="R247" s="1390"/>
      <c r="S247" s="4" t="s">
        <v>207</v>
      </c>
      <c r="T247" s="4"/>
      <c r="U247" s="1445">
        <v>215</v>
      </c>
      <c r="V247" s="1445"/>
      <c r="W247" s="1445"/>
      <c r="X247" s="4" t="s">
        <v>89</v>
      </c>
      <c r="Z247" s="1449" t="s">
        <v>2659</v>
      </c>
      <c r="AA247" s="1390"/>
      <c r="AB247" s="1390"/>
      <c r="AC247" s="1390"/>
      <c r="AD247" s="1390"/>
      <c r="AE247" s="1390"/>
      <c r="AU247" s="4"/>
      <c r="AV247" s="4"/>
      <c r="AW247" s="4"/>
      <c r="AX247" s="4"/>
      <c r="AY247" s="4"/>
      <c r="BG247">
        <v>0</v>
      </c>
      <c r="BH247" s="3"/>
      <c r="BN247" s="34"/>
    </row>
    <row r="248" spans="1:71" ht="12.9" customHeight="1">
      <c r="A248" s="19"/>
      <c r="B248" s="4"/>
      <c r="C248" s="4"/>
      <c r="D248" s="4" t="s">
        <v>90</v>
      </c>
      <c r="E248" s="4"/>
      <c r="F248" s="4"/>
      <c r="M248" s="1777" t="s">
        <v>2665</v>
      </c>
      <c r="N248" s="1777"/>
      <c r="O248" s="1777"/>
      <c r="P248" s="1777"/>
      <c r="Q248" s="1777"/>
      <c r="R248" s="1777"/>
      <c r="S248" s="1777"/>
      <c r="T248" s="1777"/>
      <c r="U248" s="1777"/>
      <c r="V248" s="1777"/>
      <c r="W248" s="1777"/>
      <c r="X248" s="1777"/>
      <c r="Y248" s="1777"/>
      <c r="Z248" s="1777"/>
      <c r="AA248" s="1777"/>
      <c r="AB248" s="1777"/>
      <c r="AC248" s="1777"/>
      <c r="AD248" s="1777"/>
      <c r="AE248" s="1777"/>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8" t="s">
        <v>2661</v>
      </c>
      <c r="AB249" s="1779"/>
      <c r="AC249" s="1779"/>
      <c r="AD249" s="1779"/>
      <c r="AE249" s="1779"/>
      <c r="AF249" s="1779"/>
      <c r="AG249" s="1779"/>
      <c r="AH249" s="1779"/>
      <c r="AI249" s="1779"/>
      <c r="AJ249" s="1779"/>
      <c r="AK249" s="1779"/>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400" t="s">
        <v>2667</v>
      </c>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2.9" customHeight="1">
      <c r="A252" s="19"/>
      <c r="B252" s="4"/>
      <c r="C252" s="4"/>
      <c r="D252" s="4" t="s">
        <v>85</v>
      </c>
      <c r="E252" s="4"/>
      <c r="F252" s="4"/>
      <c r="G252" s="4"/>
      <c r="H252" s="4"/>
      <c r="I252" s="4"/>
      <c r="J252" s="4"/>
      <c r="K252" s="4"/>
      <c r="L252" s="4"/>
      <c r="M252" s="1397" t="s">
        <v>2650</v>
      </c>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 customHeight="1">
      <c r="A253" s="19"/>
      <c r="B253" s="4"/>
      <c r="C253" s="4"/>
      <c r="D253" s="4" t="s">
        <v>589</v>
      </c>
      <c r="E253" s="4"/>
      <c r="M253" s="1397" t="s">
        <v>2651</v>
      </c>
      <c r="N253" s="1398"/>
      <c r="O253" s="1398"/>
      <c r="P253" s="1398"/>
      <c r="Q253" s="1398"/>
      <c r="R253" s="1398"/>
      <c r="S253" s="1398"/>
      <c r="T253" s="1398"/>
      <c r="V253" s="33" t="s">
        <v>86</v>
      </c>
      <c r="W253" s="1445"/>
      <c r="X253" s="1445"/>
      <c r="Y253" s="4" t="s">
        <v>592</v>
      </c>
      <c r="AC253" s="1398"/>
      <c r="AD253" s="1398"/>
      <c r="AE253" s="1398"/>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397" t="s">
        <v>2668</v>
      </c>
      <c r="N254" s="1398"/>
      <c r="O254" s="1398"/>
      <c r="P254" s="1398"/>
      <c r="Q254" s="1398"/>
      <c r="R254" s="1398"/>
      <c r="S254" s="1398"/>
      <c r="T254" s="1398"/>
      <c r="U254" s="1398"/>
      <c r="V254" s="1398"/>
      <c r="W254" s="1398"/>
      <c r="X254" s="1398"/>
      <c r="Y254" s="1398"/>
      <c r="Z254" s="1398"/>
      <c r="AA254" s="1398"/>
      <c r="AB254" s="1398"/>
      <c r="AC254" s="1398"/>
      <c r="AD254" s="1398"/>
      <c r="AE254" s="1398"/>
      <c r="AH254" s="1782">
        <v>0.5</v>
      </c>
      <c r="AI254" s="1782"/>
      <c r="AJ254" s="1782"/>
      <c r="AK254" s="1782"/>
      <c r="AL254" s="4"/>
      <c r="AM254" s="4"/>
      <c r="AN254" s="4"/>
      <c r="AO254" s="4"/>
      <c r="AP254" s="4"/>
      <c r="AQ254" s="4"/>
      <c r="AR254" s="4"/>
      <c r="AS254" s="4"/>
      <c r="AT254" s="4"/>
    </row>
    <row r="255" spans="1:71" ht="12.9" customHeight="1">
      <c r="A255" s="19"/>
      <c r="B255" s="4"/>
      <c r="C255" s="4"/>
      <c r="D255" s="4" t="s">
        <v>88</v>
      </c>
      <c r="E255" s="4"/>
      <c r="F255" s="4"/>
      <c r="M255" s="1449" t="s">
        <v>2669</v>
      </c>
      <c r="N255" s="1390"/>
      <c r="O255" s="1390"/>
      <c r="P255" s="1390"/>
      <c r="Q255" s="1390"/>
      <c r="R255" s="1390"/>
      <c r="S255" s="4" t="s">
        <v>207</v>
      </c>
      <c r="T255" s="4"/>
      <c r="U255" s="1445"/>
      <c r="V255" s="1445"/>
      <c r="W255" s="1445"/>
      <c r="X255" s="4" t="s">
        <v>89</v>
      </c>
      <c r="Z255" s="1390"/>
      <c r="AA255" s="1390"/>
      <c r="AB255" s="1390"/>
      <c r="AC255" s="1390"/>
      <c r="AD255" s="1390"/>
      <c r="AE255" s="1390"/>
      <c r="AU255" s="4"/>
      <c r="AV255" s="4"/>
      <c r="AW255" s="4"/>
      <c r="AX255" s="4"/>
      <c r="AY255" s="4"/>
      <c r="BN255" s="34"/>
    </row>
    <row r="256" spans="1:71" ht="12.9" customHeight="1">
      <c r="A256" s="19"/>
      <c r="B256" s="4"/>
      <c r="C256" s="4"/>
      <c r="D256" s="4" t="s">
        <v>90</v>
      </c>
      <c r="E256" s="4"/>
      <c r="F256" s="4"/>
      <c r="M256" s="1777" t="s">
        <v>2670</v>
      </c>
      <c r="N256" s="1777"/>
      <c r="O256" s="1777"/>
      <c r="P256" s="1777"/>
      <c r="Q256" s="1777"/>
      <c r="R256" s="1777"/>
      <c r="S256" s="1777"/>
      <c r="T256" s="1777"/>
      <c r="U256" s="1777"/>
      <c r="V256" s="1777"/>
      <c r="W256" s="1777"/>
      <c r="X256" s="1777"/>
      <c r="Y256" s="1777"/>
      <c r="Z256" s="1777"/>
      <c r="AA256" s="1777"/>
      <c r="AB256" s="1777"/>
      <c r="AC256" s="1777"/>
      <c r="AD256" s="1777"/>
      <c r="AE256" s="1777"/>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779" t="s">
        <v>2666</v>
      </c>
      <c r="AB257" s="1779"/>
      <c r="AC257" s="1779"/>
      <c r="AD257" s="1779"/>
      <c r="AE257" s="1779"/>
      <c r="AF257" s="1779"/>
      <c r="AG257" s="1779"/>
      <c r="AH257" s="1779"/>
      <c r="AI257" s="1779"/>
      <c r="AJ257" s="1779"/>
      <c r="AK257" s="1779"/>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398"/>
      <c r="N261" s="1398"/>
      <c r="O261" s="1398"/>
      <c r="P261" s="1398"/>
      <c r="Q261" s="1398"/>
      <c r="R261" s="1398"/>
      <c r="S261" s="1398"/>
      <c r="T261" s="1398"/>
      <c r="V261" s="33" t="s">
        <v>86</v>
      </c>
      <c r="W261" s="1445"/>
      <c r="X261" s="1445"/>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82"/>
      <c r="AI262" s="1782"/>
      <c r="AJ262" s="1782"/>
      <c r="AK262" s="1782"/>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390"/>
      <c r="N263" s="1390"/>
      <c r="O263" s="1390"/>
      <c r="P263" s="1390"/>
      <c r="Q263" s="1390"/>
      <c r="R263" s="1390"/>
      <c r="S263" s="4" t="s">
        <v>207</v>
      </c>
      <c r="T263" s="4"/>
      <c r="U263" s="1445"/>
      <c r="V263" s="1445"/>
      <c r="W263" s="1445"/>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777"/>
      <c r="N264" s="1777"/>
      <c r="O264" s="1777"/>
      <c r="P264" s="1777"/>
      <c r="Q264" s="1777"/>
      <c r="R264" s="1777"/>
      <c r="S264" s="1777"/>
      <c r="T264" s="1777"/>
      <c r="U264" s="1777"/>
      <c r="V264" s="1777"/>
      <c r="W264" s="1777"/>
      <c r="X264" s="1777"/>
      <c r="Y264" s="1777"/>
      <c r="Z264" s="1777"/>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804"/>
      <c r="AB265" s="1804"/>
      <c r="AC265" s="1804"/>
      <c r="AD265" s="1804"/>
      <c r="AE265" s="1804"/>
      <c r="AF265" s="1804"/>
      <c r="AG265" s="1804"/>
      <c r="AH265" s="1804"/>
      <c r="AI265" s="1804"/>
      <c r="AJ265" s="1804"/>
      <c r="AK265" s="1804"/>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802" t="str">
        <f>IFERROR(BO245,"")</f>
        <v>Nonprofit</v>
      </c>
      <c r="U267" s="1802"/>
      <c r="V267" s="1802"/>
      <c r="W267" s="1802"/>
      <c r="X267" s="1802"/>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398" t="s">
        <v>281</v>
      </c>
      <c r="E270" s="1398"/>
      <c r="F270" s="1398"/>
      <c r="G270" s="1398"/>
      <c r="H270" s="1398"/>
      <c r="J270" t="s">
        <v>280</v>
      </c>
      <c r="X270" s="1487" t="s">
        <v>600</v>
      </c>
      <c r="Y270" s="1487"/>
      <c r="Z270" s="1487"/>
      <c r="AA270" s="1487"/>
      <c r="AB270" s="1487"/>
      <c r="AC270" s="1487"/>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400" t="s">
        <v>2671</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397" t="s">
        <v>2654</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 customHeight="1">
      <c r="D276" s="4" t="s">
        <v>589</v>
      </c>
      <c r="E276" s="4"/>
      <c r="L276" s="1397" t="s">
        <v>2655</v>
      </c>
      <c r="M276" s="1398"/>
      <c r="N276" s="1398"/>
      <c r="O276" s="1398"/>
      <c r="P276" s="1398"/>
      <c r="Q276" s="1398"/>
      <c r="R276" s="1398"/>
      <c r="S276" s="1398"/>
      <c r="U276" s="33" t="s">
        <v>86</v>
      </c>
      <c r="V276" s="1583" t="s">
        <v>2672</v>
      </c>
      <c r="W276" s="1445"/>
      <c r="X276" s="4" t="s">
        <v>592</v>
      </c>
      <c r="AB276" s="1398">
        <v>94801</v>
      </c>
      <c r="AC276" s="1398"/>
      <c r="AD276" s="1398"/>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397" t="s">
        <v>2657</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 customHeight="1">
      <c r="D278" s="4" t="s">
        <v>88</v>
      </c>
      <c r="E278" s="4"/>
      <c r="F278" s="4"/>
      <c r="L278" s="1449" t="s">
        <v>2658</v>
      </c>
      <c r="M278" s="1390"/>
      <c r="N278" s="1390"/>
      <c r="O278" s="1390"/>
      <c r="P278" s="1390"/>
      <c r="Q278" s="1390"/>
      <c r="R278" s="4" t="s">
        <v>207</v>
      </c>
      <c r="S278" s="4"/>
      <c r="T278" s="1445">
        <v>215</v>
      </c>
      <c r="U278" s="1445"/>
      <c r="V278" s="1445"/>
      <c r="W278" s="4" t="s">
        <v>89</v>
      </c>
      <c r="Y278" s="1449" t="s">
        <v>2659</v>
      </c>
      <c r="Z278" s="1390"/>
      <c r="AA278" s="1390"/>
      <c r="AB278" s="1390"/>
      <c r="AC278" s="1390"/>
      <c r="AD278" s="1390"/>
      <c r="BN278" s="34"/>
    </row>
    <row r="279" spans="1:66" ht="12.9" customHeight="1">
      <c r="D279" s="4" t="s">
        <v>90</v>
      </c>
      <c r="E279" s="4"/>
      <c r="F279" s="4"/>
      <c r="L279" s="1777" t="s">
        <v>2665</v>
      </c>
      <c r="M279" s="1777"/>
      <c r="N279" s="1777"/>
      <c r="O279" s="1777"/>
      <c r="P279" s="1777"/>
      <c r="Q279" s="1777"/>
      <c r="R279" s="1777"/>
      <c r="S279" s="1777"/>
      <c r="T279" s="1777"/>
      <c r="U279" s="1777"/>
      <c r="V279" s="1777"/>
      <c r="W279" s="1777"/>
      <c r="X279" s="1777"/>
      <c r="Y279" s="1777"/>
      <c r="Z279" s="1777"/>
      <c r="AA279" s="1777"/>
      <c r="AB279" s="1777"/>
      <c r="AC279" s="1777"/>
      <c r="AD279" s="1777"/>
      <c r="AF279" s="4"/>
      <c r="AG279" s="4"/>
      <c r="AH279" s="4"/>
      <c r="AI279" s="4"/>
      <c r="AJ279" s="4"/>
      <c r="AU279" s="3"/>
      <c r="AV279" s="3"/>
      <c r="AW279" s="3"/>
      <c r="AX279" s="3"/>
      <c r="AY279" s="3"/>
      <c r="BN279" s="34"/>
    </row>
    <row r="280" spans="1:66" ht="12.9" customHeight="1">
      <c r="D280" s="3" t="s">
        <v>632</v>
      </c>
      <c r="E280" s="3"/>
      <c r="F280" s="3"/>
      <c r="G280" s="3"/>
      <c r="H280" s="3"/>
      <c r="I280" s="3"/>
      <c r="L280" s="1583" t="s">
        <v>2673</v>
      </c>
      <c r="M280" s="1583"/>
      <c r="N280" s="1583"/>
      <c r="O280" s="1583"/>
      <c r="P280" s="1583"/>
      <c r="Q280" s="1583"/>
      <c r="R280" s="1583"/>
      <c r="S280" s="1583"/>
      <c r="T280" s="1583"/>
      <c r="U280" s="1583"/>
      <c r="V280" s="1583"/>
      <c r="W280" s="1583"/>
      <c r="X280" s="1583"/>
      <c r="Y280" s="1583"/>
      <c r="Z280" s="1583"/>
      <c r="AA280" s="1583"/>
      <c r="AB280" s="1583"/>
      <c r="AC280" s="1583"/>
      <c r="AD280" s="1583"/>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701" t="s">
        <v>2671</v>
      </c>
      <c r="I287" s="1701"/>
      <c r="J287" s="1701"/>
      <c r="K287" s="1701"/>
      <c r="L287" s="1701"/>
      <c r="M287" s="1701"/>
      <c r="N287" s="1701"/>
      <c r="O287" s="1701"/>
      <c r="P287" s="1701"/>
      <c r="Q287" s="1701"/>
      <c r="R287" s="1701"/>
      <c r="T287" s="3" t="s">
        <v>576</v>
      </c>
      <c r="V287" s="3"/>
      <c r="W287" s="3"/>
      <c r="X287" s="3"/>
      <c r="Y287" s="3"/>
      <c r="AA287" s="1701" t="s">
        <v>2675</v>
      </c>
      <c r="AB287" s="1701"/>
      <c r="AC287" s="1701"/>
      <c r="AD287" s="1701"/>
      <c r="AE287" s="1701"/>
      <c r="AF287" s="1701"/>
      <c r="AG287" s="1701"/>
      <c r="AH287" s="1701"/>
      <c r="AI287" s="1701"/>
      <c r="AJ287" s="1701"/>
      <c r="AK287" s="1701"/>
      <c r="BN287" s="34"/>
    </row>
    <row r="288" spans="1:66" ht="12.9" customHeight="1">
      <c r="B288" s="3" t="s">
        <v>480</v>
      </c>
      <c r="C288" s="3"/>
      <c r="D288" s="3"/>
      <c r="E288" s="3"/>
      <c r="F288" s="3"/>
      <c r="H288" s="1707" t="s">
        <v>2654</v>
      </c>
      <c r="I288" s="1707"/>
      <c r="J288" s="1707"/>
      <c r="K288" s="1707"/>
      <c r="L288" s="1707"/>
      <c r="M288" s="1707"/>
      <c r="N288" s="1707"/>
      <c r="O288" s="1707"/>
      <c r="P288" s="1707"/>
      <c r="Q288" s="1707"/>
      <c r="R288" s="1707"/>
      <c r="T288" s="3" t="s">
        <v>480</v>
      </c>
      <c r="V288" s="3"/>
      <c r="W288" s="3"/>
      <c r="X288" s="3"/>
      <c r="Y288" s="3"/>
      <c r="AA288" s="1707" t="s">
        <v>2676</v>
      </c>
      <c r="AB288" s="1707"/>
      <c r="AC288" s="1707"/>
      <c r="AD288" s="1707"/>
      <c r="AE288" s="1707"/>
      <c r="AF288" s="1707"/>
      <c r="AG288" s="1707"/>
      <c r="AH288" s="1707"/>
      <c r="AI288" s="1707"/>
      <c r="AJ288" s="1707"/>
      <c r="AK288" s="1707"/>
      <c r="BN288" s="34"/>
    </row>
    <row r="289" spans="2:66" ht="12.9" customHeight="1">
      <c r="B289" s="3" t="s">
        <v>481</v>
      </c>
      <c r="C289" s="3"/>
      <c r="D289" s="3"/>
      <c r="E289" s="3"/>
      <c r="F289" s="3"/>
      <c r="H289" s="1707" t="s">
        <v>2674</v>
      </c>
      <c r="I289" s="1707"/>
      <c r="J289" s="1707"/>
      <c r="K289" s="1707"/>
      <c r="L289" s="1707"/>
      <c r="M289" s="1707"/>
      <c r="N289" s="1707"/>
      <c r="O289" s="1707"/>
      <c r="P289" s="1707"/>
      <c r="Q289" s="1707"/>
      <c r="R289" s="1707"/>
      <c r="T289" s="3" t="s">
        <v>75</v>
      </c>
      <c r="V289" s="3"/>
      <c r="W289" s="3"/>
      <c r="X289" s="3"/>
      <c r="Y289" s="3"/>
      <c r="AA289" s="1707" t="s">
        <v>2677</v>
      </c>
      <c r="AB289" s="1707"/>
      <c r="AC289" s="1707"/>
      <c r="AD289" s="1707"/>
      <c r="AE289" s="1707"/>
      <c r="AF289" s="1707"/>
      <c r="AG289" s="1707"/>
      <c r="AH289" s="1707"/>
      <c r="AI289" s="1707"/>
      <c r="AJ289" s="1707"/>
      <c r="AK289" s="1707"/>
      <c r="BN289" s="34"/>
    </row>
    <row r="290" spans="2:66" ht="12.9" customHeight="1">
      <c r="B290" s="3" t="s">
        <v>87</v>
      </c>
      <c r="C290" s="3"/>
      <c r="D290" s="3"/>
      <c r="E290" s="3"/>
      <c r="F290" s="3"/>
      <c r="H290" s="1707" t="s">
        <v>2657</v>
      </c>
      <c r="I290" s="1707"/>
      <c r="J290" s="1707"/>
      <c r="K290" s="1707"/>
      <c r="L290" s="1707"/>
      <c r="M290" s="1707"/>
      <c r="N290" s="1707"/>
      <c r="O290" s="1707"/>
      <c r="P290" s="1707"/>
      <c r="Q290" s="1707"/>
      <c r="R290" s="1707"/>
      <c r="T290" s="3" t="s">
        <v>87</v>
      </c>
      <c r="V290" s="3"/>
      <c r="W290" s="3"/>
      <c r="X290" s="3"/>
      <c r="Y290" s="3"/>
      <c r="AA290" s="1707" t="s">
        <v>2678</v>
      </c>
      <c r="AB290" s="1707"/>
      <c r="AC290" s="1707"/>
      <c r="AD290" s="1707"/>
      <c r="AE290" s="1707"/>
      <c r="AF290" s="1707"/>
      <c r="AG290" s="1707"/>
      <c r="AH290" s="1707"/>
      <c r="AI290" s="1707"/>
      <c r="AJ290" s="1707"/>
      <c r="AK290" s="1707"/>
      <c r="BN290" s="34"/>
    </row>
    <row r="291" spans="2:66" ht="12.9" customHeight="1">
      <c r="B291" s="3" t="s">
        <v>88</v>
      </c>
      <c r="C291" s="3"/>
      <c r="D291" s="3"/>
      <c r="E291" s="3"/>
      <c r="F291" s="3"/>
      <c r="G291" s="3"/>
      <c r="H291" s="1484" t="s">
        <v>2658</v>
      </c>
      <c r="I291" s="1484"/>
      <c r="J291" s="1484"/>
      <c r="K291" s="1484"/>
      <c r="L291" s="1484"/>
      <c r="M291" s="1484"/>
      <c r="N291" s="4" t="s">
        <v>207</v>
      </c>
      <c r="O291" s="4"/>
      <c r="P291" s="1803">
        <v>215</v>
      </c>
      <c r="Q291" s="1803"/>
      <c r="R291" s="1803"/>
      <c r="S291" s="3"/>
      <c r="T291" s="3" t="s">
        <v>88</v>
      </c>
      <c r="V291" s="3"/>
      <c r="W291" s="3"/>
      <c r="X291" s="3"/>
      <c r="Y291" s="3"/>
      <c r="AA291" s="1484" t="s">
        <v>2679</v>
      </c>
      <c r="AB291" s="1484"/>
      <c r="AC291" s="1484"/>
      <c r="AD291" s="1484"/>
      <c r="AE291" s="1484"/>
      <c r="AF291" s="1484"/>
      <c r="AG291" s="4" t="s">
        <v>207</v>
      </c>
      <c r="AH291" s="4"/>
      <c r="AI291" s="1398"/>
      <c r="AJ291" s="1398"/>
      <c r="AK291" s="1398"/>
      <c r="BN291" s="34"/>
    </row>
    <row r="292" spans="2:66" ht="12.9" customHeight="1">
      <c r="B292" s="3" t="s">
        <v>89</v>
      </c>
      <c r="C292" s="3"/>
      <c r="D292" s="3"/>
      <c r="E292" s="3"/>
      <c r="F292" s="3"/>
      <c r="G292" s="3"/>
      <c r="H292" s="1484" t="s">
        <v>2659</v>
      </c>
      <c r="I292" s="1484"/>
      <c r="J292" s="1484"/>
      <c r="K292" s="1484"/>
      <c r="L292" s="1484"/>
      <c r="M292" s="1484"/>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 customHeight="1">
      <c r="B293" s="3" t="s">
        <v>76</v>
      </c>
      <c r="C293" s="3"/>
      <c r="D293" s="3"/>
      <c r="E293" s="3"/>
      <c r="F293" s="3"/>
      <c r="G293" s="3"/>
      <c r="H293" s="1701" t="s">
        <v>2660</v>
      </c>
      <c r="I293" s="1701"/>
      <c r="J293" s="1701"/>
      <c r="K293" s="1701"/>
      <c r="L293" s="1701"/>
      <c r="M293" s="1701"/>
      <c r="N293" s="1701"/>
      <c r="O293" s="1701"/>
      <c r="P293" s="1701"/>
      <c r="Q293" s="1701"/>
      <c r="R293" s="1701"/>
      <c r="S293" s="3"/>
      <c r="T293" s="3" t="s">
        <v>76</v>
      </c>
      <c r="V293" s="3"/>
      <c r="W293" s="3"/>
      <c r="X293" s="3"/>
      <c r="Y293" s="3"/>
      <c r="AA293" s="1701" t="s">
        <v>2680</v>
      </c>
      <c r="AB293" s="1701"/>
      <c r="AC293" s="1701"/>
      <c r="AD293" s="1701"/>
      <c r="AE293" s="1701"/>
      <c r="AF293" s="1701"/>
      <c r="AG293" s="1701"/>
      <c r="AH293" s="1701"/>
      <c r="AI293" s="1701"/>
      <c r="AJ293" s="1701"/>
      <c r="AK293" s="1701"/>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701" t="s">
        <v>2681</v>
      </c>
      <c r="I295" s="1701"/>
      <c r="J295" s="1701"/>
      <c r="K295" s="1701"/>
      <c r="L295" s="1701"/>
      <c r="M295" s="1701"/>
      <c r="N295" s="1701"/>
      <c r="O295" s="1701"/>
      <c r="P295" s="1701"/>
      <c r="Q295" s="1701"/>
      <c r="R295" s="1701"/>
      <c r="T295" s="3" t="s">
        <v>365</v>
      </c>
      <c r="V295" s="3"/>
      <c r="W295" s="3"/>
      <c r="X295" s="3"/>
      <c r="Y295" s="3"/>
      <c r="AA295" s="1701" t="s">
        <v>2686</v>
      </c>
      <c r="AB295" s="1701"/>
      <c r="AC295" s="1701"/>
      <c r="AD295" s="1701"/>
      <c r="AE295" s="1701"/>
      <c r="AF295" s="1701"/>
      <c r="AG295" s="1701"/>
      <c r="AH295" s="1701"/>
      <c r="AI295" s="1701"/>
      <c r="AJ295" s="1701"/>
      <c r="AK295" s="1701"/>
      <c r="BN295" s="34"/>
    </row>
    <row r="296" spans="2:66" ht="12.9" customHeight="1">
      <c r="B296" s="3" t="s">
        <v>480</v>
      </c>
      <c r="C296" s="3"/>
      <c r="D296" s="3"/>
      <c r="E296" s="3"/>
      <c r="F296" s="3"/>
      <c r="H296" s="1707" t="s">
        <v>2682</v>
      </c>
      <c r="I296" s="1707"/>
      <c r="J296" s="1707"/>
      <c r="K296" s="1707"/>
      <c r="L296" s="1707"/>
      <c r="M296" s="1707"/>
      <c r="N296" s="1707"/>
      <c r="O296" s="1707"/>
      <c r="P296" s="1707"/>
      <c r="Q296" s="1707"/>
      <c r="R296" s="1707"/>
      <c r="T296" s="3" t="s">
        <v>480</v>
      </c>
      <c r="V296" s="3"/>
      <c r="W296" s="3"/>
      <c r="X296" s="3"/>
      <c r="Y296" s="3"/>
      <c r="AA296" s="1707" t="s">
        <v>2687</v>
      </c>
      <c r="AB296" s="1707"/>
      <c r="AC296" s="1707"/>
      <c r="AD296" s="1707"/>
      <c r="AE296" s="1707"/>
      <c r="AF296" s="1707"/>
      <c r="AG296" s="1707"/>
      <c r="AH296" s="1707"/>
      <c r="AI296" s="1707"/>
      <c r="AJ296" s="1707"/>
      <c r="AK296" s="1707"/>
      <c r="BN296" s="34"/>
    </row>
    <row r="297" spans="2:66" ht="12.9" customHeight="1">
      <c r="B297" s="3" t="s">
        <v>481</v>
      </c>
      <c r="C297" s="3"/>
      <c r="D297" s="3"/>
      <c r="E297" s="3"/>
      <c r="F297" s="3"/>
      <c r="H297" s="1707" t="s">
        <v>2683</v>
      </c>
      <c r="I297" s="1707"/>
      <c r="J297" s="1707"/>
      <c r="K297" s="1707"/>
      <c r="L297" s="1707"/>
      <c r="M297" s="1707"/>
      <c r="N297" s="1707"/>
      <c r="O297" s="1707"/>
      <c r="P297" s="1707"/>
      <c r="Q297" s="1707"/>
      <c r="R297" s="1707"/>
      <c r="T297" s="3" t="s">
        <v>75</v>
      </c>
      <c r="V297" s="3"/>
      <c r="W297" s="3"/>
      <c r="X297" s="3"/>
      <c r="Y297" s="3"/>
      <c r="AA297" s="1707" t="s">
        <v>2688</v>
      </c>
      <c r="AB297" s="1707"/>
      <c r="AC297" s="1707"/>
      <c r="AD297" s="1707"/>
      <c r="AE297" s="1707"/>
      <c r="AF297" s="1707"/>
      <c r="AG297" s="1707"/>
      <c r="AH297" s="1707"/>
      <c r="AI297" s="1707"/>
      <c r="AJ297" s="1707"/>
      <c r="AK297" s="1707"/>
      <c r="BN297" s="34"/>
    </row>
    <row r="298" spans="2:66" ht="12.9" customHeight="1">
      <c r="B298" s="3" t="s">
        <v>87</v>
      </c>
      <c r="C298" s="3"/>
      <c r="D298" s="3"/>
      <c r="E298" s="3"/>
      <c r="F298" s="3"/>
      <c r="H298" s="1707" t="s">
        <v>2684</v>
      </c>
      <c r="I298" s="1707"/>
      <c r="J298" s="1707"/>
      <c r="K298" s="1707"/>
      <c r="L298" s="1707"/>
      <c r="M298" s="1707"/>
      <c r="N298" s="1707"/>
      <c r="O298" s="1707"/>
      <c r="P298" s="1707"/>
      <c r="Q298" s="1707"/>
      <c r="R298" s="1707"/>
      <c r="T298" s="3" t="s">
        <v>87</v>
      </c>
      <c r="V298" s="3"/>
      <c r="W298" s="3"/>
      <c r="X298" s="3"/>
      <c r="Y298" s="3"/>
      <c r="AA298" s="1707" t="s">
        <v>2689</v>
      </c>
      <c r="AB298" s="1707"/>
      <c r="AC298" s="1707"/>
      <c r="AD298" s="1707"/>
      <c r="AE298" s="1707"/>
      <c r="AF298" s="1707"/>
      <c r="AG298" s="1707"/>
      <c r="AH298" s="1707"/>
      <c r="AI298" s="1707"/>
      <c r="AJ298" s="1707"/>
      <c r="AK298" s="1707"/>
      <c r="BN298" s="34"/>
    </row>
    <row r="299" spans="2:66" ht="12.9" customHeight="1">
      <c r="B299" s="3" t="s">
        <v>88</v>
      </c>
      <c r="C299" s="3"/>
      <c r="D299" s="3"/>
      <c r="E299" s="3"/>
      <c r="F299" s="3"/>
      <c r="G299" s="3"/>
      <c r="H299" s="1484" t="s">
        <v>2659</v>
      </c>
      <c r="I299" s="1484"/>
      <c r="J299" s="1484"/>
      <c r="K299" s="1484"/>
      <c r="L299" s="1484"/>
      <c r="M299" s="1484"/>
      <c r="N299" s="4" t="s">
        <v>207</v>
      </c>
      <c r="O299" s="4"/>
      <c r="P299" s="1398"/>
      <c r="Q299" s="1398"/>
      <c r="R299" s="1398"/>
      <c r="S299" s="3"/>
      <c r="T299" s="3" t="s">
        <v>88</v>
      </c>
      <c r="V299" s="3"/>
      <c r="W299" s="3"/>
      <c r="X299" s="3"/>
      <c r="Y299" s="3"/>
      <c r="AA299" s="1484" t="s">
        <v>2690</v>
      </c>
      <c r="AB299" s="1484"/>
      <c r="AC299" s="1484"/>
      <c r="AD299" s="1484"/>
      <c r="AE299" s="1484"/>
      <c r="AF299" s="1484"/>
      <c r="AG299" s="4" t="s">
        <v>207</v>
      </c>
      <c r="AH299" s="4"/>
      <c r="AI299" s="1398"/>
      <c r="AJ299" s="1398"/>
      <c r="AK299" s="1398"/>
      <c r="BN299" s="34"/>
    </row>
    <row r="300" spans="2:66" ht="12.9"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c r="AB300" s="1390"/>
      <c r="AC300" s="1390"/>
      <c r="AD300" s="1390"/>
      <c r="AE300" s="1390"/>
      <c r="AF300" s="1390"/>
      <c r="AG300" s="4"/>
      <c r="AH300" s="4"/>
      <c r="AI300" s="35"/>
      <c r="AJ300" s="35"/>
      <c r="AK300" s="35"/>
      <c r="BN300" s="34"/>
    </row>
    <row r="301" spans="2:66" ht="12.9" customHeight="1">
      <c r="B301" s="3" t="s">
        <v>76</v>
      </c>
      <c r="C301" s="3"/>
      <c r="D301" s="3"/>
      <c r="E301" s="3"/>
      <c r="F301" s="3"/>
      <c r="G301" s="3"/>
      <c r="H301" s="1701" t="s">
        <v>2685</v>
      </c>
      <c r="I301" s="1701"/>
      <c r="J301" s="1701"/>
      <c r="K301" s="1701"/>
      <c r="L301" s="1701"/>
      <c r="M301" s="1701"/>
      <c r="N301" s="1701"/>
      <c r="O301" s="1701"/>
      <c r="P301" s="1701"/>
      <c r="Q301" s="1701"/>
      <c r="R301" s="1701"/>
      <c r="S301" s="3"/>
      <c r="T301" s="3" t="s">
        <v>76</v>
      </c>
      <c r="V301" s="3"/>
      <c r="W301" s="3"/>
      <c r="X301" s="3"/>
      <c r="Y301" s="3"/>
      <c r="AA301" s="1701" t="s">
        <v>2691</v>
      </c>
      <c r="AB301" s="1701"/>
      <c r="AC301" s="1701"/>
      <c r="AD301" s="1701"/>
      <c r="AE301" s="1701"/>
      <c r="AF301" s="1701"/>
      <c r="AG301" s="1701"/>
      <c r="AH301" s="1701"/>
      <c r="AI301" s="1701"/>
      <c r="AJ301" s="1701"/>
      <c r="AK301" s="1701"/>
      <c r="BN301" s="34"/>
    </row>
    <row r="302" spans="2:66" ht="12.9" customHeight="1">
      <c r="BN302" s="34"/>
    </row>
    <row r="303" spans="2:66" ht="12.9" customHeight="1">
      <c r="B303" s="3" t="s">
        <v>77</v>
      </c>
      <c r="C303" s="3"/>
      <c r="D303" s="3"/>
      <c r="E303" s="3"/>
      <c r="F303" s="3"/>
      <c r="H303" s="1701" t="s">
        <v>2681</v>
      </c>
      <c r="I303" s="1701"/>
      <c r="J303" s="1701"/>
      <c r="K303" s="1701"/>
      <c r="L303" s="1701"/>
      <c r="M303" s="1701"/>
      <c r="N303" s="1701"/>
      <c r="O303" s="1701"/>
      <c r="P303" s="1701"/>
      <c r="Q303" s="1701"/>
      <c r="R303" s="1701"/>
      <c r="T303" s="4" t="s">
        <v>891</v>
      </c>
      <c r="V303" s="3"/>
      <c r="W303" s="3"/>
      <c r="X303" s="3"/>
      <c r="Y303" s="3"/>
      <c r="AA303" s="1701" t="s">
        <v>2692</v>
      </c>
      <c r="AB303" s="1701"/>
      <c r="AC303" s="1701"/>
      <c r="AD303" s="1701"/>
      <c r="AE303" s="1701"/>
      <c r="AF303" s="1701"/>
      <c r="AG303" s="1701"/>
      <c r="AH303" s="1701"/>
      <c r="AI303" s="1701"/>
      <c r="AJ303" s="1701"/>
      <c r="AK303" s="1701"/>
      <c r="BN303" s="34"/>
    </row>
    <row r="304" spans="2:66" ht="12.9" customHeight="1">
      <c r="B304" s="3" t="s">
        <v>480</v>
      </c>
      <c r="C304" s="3"/>
      <c r="D304" s="3"/>
      <c r="E304" s="3"/>
      <c r="F304" s="3"/>
      <c r="H304" s="1707" t="s">
        <v>2682</v>
      </c>
      <c r="I304" s="1707"/>
      <c r="J304" s="1707"/>
      <c r="K304" s="1707"/>
      <c r="L304" s="1707"/>
      <c r="M304" s="1707"/>
      <c r="N304" s="1707"/>
      <c r="O304" s="1707"/>
      <c r="P304" s="1707"/>
      <c r="Q304" s="1707"/>
      <c r="R304" s="1707"/>
      <c r="T304" s="3" t="s">
        <v>480</v>
      </c>
      <c r="V304" s="3"/>
      <c r="W304" s="3"/>
      <c r="X304" s="3"/>
      <c r="Y304" s="3"/>
      <c r="AA304" s="1707" t="s">
        <v>2693</v>
      </c>
      <c r="AB304" s="1707"/>
      <c r="AC304" s="1707"/>
      <c r="AD304" s="1707"/>
      <c r="AE304" s="1707"/>
      <c r="AF304" s="1707"/>
      <c r="AG304" s="1707"/>
      <c r="AH304" s="1707"/>
      <c r="AI304" s="1707"/>
      <c r="AJ304" s="1707"/>
      <c r="AK304" s="1707"/>
      <c r="BN304" s="34"/>
    </row>
    <row r="305" spans="2:66" ht="12.9" customHeight="1">
      <c r="B305" s="3" t="s">
        <v>481</v>
      </c>
      <c r="C305" s="3"/>
      <c r="D305" s="3"/>
      <c r="E305" s="3"/>
      <c r="F305" s="3"/>
      <c r="H305" s="1707" t="s">
        <v>2683</v>
      </c>
      <c r="I305" s="1707"/>
      <c r="J305" s="1707"/>
      <c r="K305" s="1707"/>
      <c r="L305" s="1707"/>
      <c r="M305" s="1707"/>
      <c r="N305" s="1707"/>
      <c r="O305" s="1707"/>
      <c r="P305" s="1707"/>
      <c r="Q305" s="1707"/>
      <c r="R305" s="1707"/>
      <c r="T305" s="3" t="s">
        <v>75</v>
      </c>
      <c r="V305" s="3"/>
      <c r="W305" s="3"/>
      <c r="X305" s="3"/>
      <c r="Y305" s="3"/>
      <c r="AA305" s="1707" t="s">
        <v>2694</v>
      </c>
      <c r="AB305" s="1707"/>
      <c r="AC305" s="1707"/>
      <c r="AD305" s="1707"/>
      <c r="AE305" s="1707"/>
      <c r="AF305" s="1707"/>
      <c r="AG305" s="1707"/>
      <c r="AH305" s="1707"/>
      <c r="AI305" s="1707"/>
      <c r="AJ305" s="1707"/>
      <c r="AK305" s="1707"/>
      <c r="BN305" s="34"/>
    </row>
    <row r="306" spans="2:66" ht="12.9" customHeight="1">
      <c r="B306" s="3" t="s">
        <v>87</v>
      </c>
      <c r="C306" s="3"/>
      <c r="D306" s="3"/>
      <c r="E306" s="3"/>
      <c r="F306" s="3"/>
      <c r="H306" s="1433"/>
      <c r="I306" s="1433"/>
      <c r="J306" s="1433"/>
      <c r="K306" s="1433"/>
      <c r="L306" s="1433"/>
      <c r="M306" s="1433"/>
      <c r="N306" s="1433"/>
      <c r="O306" s="1433"/>
      <c r="P306" s="1433"/>
      <c r="Q306" s="1433"/>
      <c r="R306" s="1433"/>
      <c r="T306" s="3" t="s">
        <v>87</v>
      </c>
      <c r="V306" s="3"/>
      <c r="W306" s="3"/>
      <c r="X306" s="3"/>
      <c r="Y306" s="3"/>
      <c r="AA306" s="1433"/>
      <c r="AB306" s="1433"/>
      <c r="AC306" s="1433"/>
      <c r="AD306" s="1433"/>
      <c r="AE306" s="1433"/>
      <c r="AF306" s="1433"/>
      <c r="AG306" s="1433"/>
      <c r="AH306" s="1433"/>
      <c r="AI306" s="1433"/>
      <c r="AJ306" s="1433"/>
      <c r="AK306" s="1433"/>
      <c r="BN306" s="34"/>
    </row>
    <row r="307" spans="2:66" ht="12.9" customHeight="1">
      <c r="B307" s="3" t="s">
        <v>88</v>
      </c>
      <c r="C307" s="3"/>
      <c r="D307" s="3"/>
      <c r="E307" s="3"/>
      <c r="F307" s="3"/>
      <c r="G307" s="3"/>
      <c r="H307" s="1440"/>
      <c r="I307" s="1440"/>
      <c r="J307" s="1440"/>
      <c r="K307" s="1440"/>
      <c r="L307" s="1440"/>
      <c r="M307" s="1440"/>
      <c r="N307" s="4" t="s">
        <v>207</v>
      </c>
      <c r="O307" s="4"/>
      <c r="P307" s="1398"/>
      <c r="Q307" s="1398"/>
      <c r="R307" s="1398"/>
      <c r="S307" s="3"/>
      <c r="T307" s="3" t="s">
        <v>88</v>
      </c>
      <c r="V307" s="3"/>
      <c r="W307" s="3"/>
      <c r="X307" s="3"/>
      <c r="Y307" s="3"/>
      <c r="AA307" s="1484" t="s">
        <v>2695</v>
      </c>
      <c r="AB307" s="1484"/>
      <c r="AC307" s="1484"/>
      <c r="AD307" s="1484"/>
      <c r="AE307" s="1484"/>
      <c r="AF307" s="1484"/>
      <c r="AG307" s="4" t="s">
        <v>207</v>
      </c>
      <c r="AH307" s="4"/>
      <c r="AI307" s="1398"/>
      <c r="AJ307" s="1398"/>
      <c r="AK307" s="1398"/>
      <c r="BN307" s="34"/>
    </row>
    <row r="308" spans="2:66" ht="12.9"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 customHeight="1">
      <c r="B309" s="3" t="s">
        <v>76</v>
      </c>
      <c r="C309" s="3"/>
      <c r="D309" s="3"/>
      <c r="E309" s="3"/>
      <c r="F309" s="3"/>
      <c r="G309" s="3"/>
      <c r="H309" s="1433"/>
      <c r="I309" s="1433"/>
      <c r="J309" s="1433"/>
      <c r="K309" s="1433"/>
      <c r="L309" s="1433"/>
      <c r="M309" s="1433"/>
      <c r="N309" s="1380"/>
      <c r="O309" s="1380"/>
      <c r="P309" s="1380"/>
      <c r="Q309" s="1380"/>
      <c r="R309" s="1380"/>
      <c r="S309" s="3"/>
      <c r="T309" s="3" t="s">
        <v>76</v>
      </c>
      <c r="V309" s="3"/>
      <c r="W309" s="3"/>
      <c r="X309" s="3"/>
      <c r="Y309" s="3"/>
      <c r="AA309" s="1433"/>
      <c r="AB309" s="1433"/>
      <c r="AC309" s="1433"/>
      <c r="AD309" s="1433"/>
      <c r="AE309" s="1433"/>
      <c r="AF309" s="1433"/>
      <c r="AG309" s="1380"/>
      <c r="AH309" s="1380"/>
      <c r="AI309" s="1380"/>
      <c r="AJ309" s="1380"/>
      <c r="AK309" s="1380"/>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701" t="s">
        <v>2696</v>
      </c>
      <c r="I311" s="1701"/>
      <c r="J311" s="1701"/>
      <c r="K311" s="1701"/>
      <c r="L311" s="1701"/>
      <c r="M311" s="1701"/>
      <c r="N311" s="1701"/>
      <c r="O311" s="1701"/>
      <c r="P311" s="1701"/>
      <c r="Q311" s="1701"/>
      <c r="R311" s="1701"/>
      <c r="S311" s="3"/>
      <c r="T311" s="3" t="s">
        <v>366</v>
      </c>
      <c r="V311" s="3"/>
      <c r="W311" s="3"/>
      <c r="X311" s="3"/>
      <c r="Y311" s="3"/>
      <c r="AA311" s="1701" t="s">
        <v>2702</v>
      </c>
      <c r="AB311" s="1701"/>
      <c r="AC311" s="1701"/>
      <c r="AD311" s="1701"/>
      <c r="AE311" s="1701"/>
      <c r="AF311" s="1701"/>
      <c r="AG311" s="1701"/>
      <c r="AH311" s="1701"/>
      <c r="AI311" s="1701"/>
      <c r="AJ311" s="1701"/>
      <c r="AK311" s="1701"/>
      <c r="BN311" s="34"/>
    </row>
    <row r="312" spans="2:66" ht="12.9" customHeight="1">
      <c r="B312" s="3" t="s">
        <v>480</v>
      </c>
      <c r="C312" s="3"/>
      <c r="D312" s="3"/>
      <c r="E312" s="3"/>
      <c r="F312" s="3"/>
      <c r="H312" s="1707" t="s">
        <v>2697</v>
      </c>
      <c r="I312" s="1707"/>
      <c r="J312" s="1707"/>
      <c r="K312" s="1707"/>
      <c r="L312" s="1707"/>
      <c r="M312" s="1707"/>
      <c r="N312" s="1707"/>
      <c r="O312" s="1707"/>
      <c r="P312" s="1707"/>
      <c r="Q312" s="1707"/>
      <c r="R312" s="1707"/>
      <c r="S312" s="3"/>
      <c r="T312" s="3" t="s">
        <v>480</v>
      </c>
      <c r="V312" s="3"/>
      <c r="W312" s="3"/>
      <c r="X312" s="3"/>
      <c r="Y312" s="3"/>
      <c r="AA312" s="1707" t="s">
        <v>2703</v>
      </c>
      <c r="AB312" s="1707"/>
      <c r="AC312" s="1707"/>
      <c r="AD312" s="1707"/>
      <c r="AE312" s="1707"/>
      <c r="AF312" s="1707"/>
      <c r="AG312" s="1707"/>
      <c r="AH312" s="1707"/>
      <c r="AI312" s="1707"/>
      <c r="AJ312" s="1707"/>
      <c r="AK312" s="1707"/>
      <c r="BN312" s="34"/>
    </row>
    <row r="313" spans="2:66" ht="12.9" customHeight="1">
      <c r="B313" s="3" t="s">
        <v>481</v>
      </c>
      <c r="C313" s="3"/>
      <c r="D313" s="3"/>
      <c r="E313" s="3"/>
      <c r="F313" s="3"/>
      <c r="H313" s="1707" t="s">
        <v>2698</v>
      </c>
      <c r="I313" s="1707"/>
      <c r="J313" s="1707"/>
      <c r="K313" s="1707"/>
      <c r="L313" s="1707"/>
      <c r="M313" s="1707"/>
      <c r="N313" s="1707"/>
      <c r="O313" s="1707"/>
      <c r="P313" s="1707"/>
      <c r="Q313" s="1707"/>
      <c r="R313" s="1707"/>
      <c r="S313" s="3"/>
      <c r="T313" s="3" t="s">
        <v>75</v>
      </c>
      <c r="V313" s="3"/>
      <c r="W313" s="3"/>
      <c r="X313" s="3"/>
      <c r="Y313" s="3"/>
      <c r="AA313" s="1707" t="s">
        <v>2704</v>
      </c>
      <c r="AB313" s="1707"/>
      <c r="AC313" s="1707"/>
      <c r="AD313" s="1707"/>
      <c r="AE313" s="1707"/>
      <c r="AF313" s="1707"/>
      <c r="AG313" s="1707"/>
      <c r="AH313" s="1707"/>
      <c r="AI313" s="1707"/>
      <c r="AJ313" s="1707"/>
      <c r="AK313" s="1707"/>
      <c r="BN313" s="34"/>
    </row>
    <row r="314" spans="2:66" ht="12.9" customHeight="1">
      <c r="B314" s="3" t="s">
        <v>87</v>
      </c>
      <c r="C314" s="3"/>
      <c r="D314" s="3"/>
      <c r="E314" s="3"/>
      <c r="F314" s="3"/>
      <c r="H314" s="1707" t="s">
        <v>2699</v>
      </c>
      <c r="I314" s="1707"/>
      <c r="J314" s="1707"/>
      <c r="K314" s="1707"/>
      <c r="L314" s="1707"/>
      <c r="M314" s="1707"/>
      <c r="N314" s="1707"/>
      <c r="O314" s="1707"/>
      <c r="P314" s="1707"/>
      <c r="Q314" s="1707"/>
      <c r="R314" s="1707"/>
      <c r="S314" s="3"/>
      <c r="T314" s="3" t="s">
        <v>87</v>
      </c>
      <c r="V314" s="3"/>
      <c r="W314" s="3"/>
      <c r="X314" s="3"/>
      <c r="Y314" s="3"/>
      <c r="AA314" s="1707" t="s">
        <v>2705</v>
      </c>
      <c r="AB314" s="1707"/>
      <c r="AC314" s="1707"/>
      <c r="AD314" s="1707"/>
      <c r="AE314" s="1707"/>
      <c r="AF314" s="1707"/>
      <c r="AG314" s="1707"/>
      <c r="AH314" s="1707"/>
      <c r="AI314" s="1707"/>
      <c r="AJ314" s="1707"/>
      <c r="AK314" s="1707"/>
      <c r="BN314" s="34"/>
    </row>
    <row r="315" spans="2:66" ht="12.9" customHeight="1">
      <c r="B315" s="3" t="s">
        <v>88</v>
      </c>
      <c r="C315" s="3"/>
      <c r="D315" s="3"/>
      <c r="E315" s="3"/>
      <c r="F315" s="3"/>
      <c r="G315" s="3"/>
      <c r="H315" s="1484" t="s">
        <v>2700</v>
      </c>
      <c r="I315" s="1484"/>
      <c r="J315" s="1484"/>
      <c r="K315" s="1484"/>
      <c r="L315" s="1484"/>
      <c r="M315" s="1484"/>
      <c r="N315" s="4" t="s">
        <v>207</v>
      </c>
      <c r="O315" s="4"/>
      <c r="P315" s="1398">
        <v>5</v>
      </c>
      <c r="Q315" s="1398"/>
      <c r="R315" s="1398"/>
      <c r="S315" s="3"/>
      <c r="T315" s="3" t="s">
        <v>88</v>
      </c>
      <c r="V315" s="3"/>
      <c r="W315" s="3"/>
      <c r="X315" s="3"/>
      <c r="Y315" s="3"/>
      <c r="AA315" s="1484" t="s">
        <v>2706</v>
      </c>
      <c r="AB315" s="1484"/>
      <c r="AC315" s="1484"/>
      <c r="AD315" s="1484"/>
      <c r="AE315" s="1484"/>
      <c r="AF315" s="1484"/>
      <c r="AG315" s="4" t="s">
        <v>207</v>
      </c>
      <c r="AH315" s="4"/>
      <c r="AI315" s="1398"/>
      <c r="AJ315" s="1398"/>
      <c r="AK315" s="1398"/>
      <c r="BN315" s="34"/>
    </row>
    <row r="316" spans="2:66" ht="12.9"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 customHeight="1">
      <c r="B317" s="3" t="s">
        <v>76</v>
      </c>
      <c r="C317" s="3"/>
      <c r="D317" s="3"/>
      <c r="E317" s="3"/>
      <c r="F317" s="3"/>
      <c r="G317" s="3"/>
      <c r="H317" s="1701" t="s">
        <v>2701</v>
      </c>
      <c r="I317" s="1701"/>
      <c r="J317" s="1701"/>
      <c r="K317" s="1701"/>
      <c r="L317" s="1701"/>
      <c r="M317" s="1701"/>
      <c r="N317" s="1701"/>
      <c r="O317" s="1701"/>
      <c r="P317" s="1701"/>
      <c r="Q317" s="1701"/>
      <c r="R317" s="1701"/>
      <c r="S317" s="3"/>
      <c r="T317" s="3" t="s">
        <v>76</v>
      </c>
      <c r="V317" s="3"/>
      <c r="W317" s="3"/>
      <c r="X317" s="3"/>
      <c r="Y317" s="3"/>
      <c r="AA317" s="1701" t="s">
        <v>2707</v>
      </c>
      <c r="AB317" s="1701"/>
      <c r="AC317" s="1701"/>
      <c r="AD317" s="1701"/>
      <c r="AE317" s="1701"/>
      <c r="AF317" s="1701"/>
      <c r="AG317" s="1701"/>
      <c r="AH317" s="1701"/>
      <c r="AI317" s="1701"/>
      <c r="AJ317" s="1701"/>
      <c r="AK317" s="1701"/>
      <c r="BN317" s="34"/>
    </row>
    <row r="318" spans="2:66" ht="12.9" customHeight="1">
      <c r="BN318" s="34"/>
    </row>
    <row r="319" spans="2:66" ht="12.9" customHeight="1">
      <c r="B319" s="4" t="s">
        <v>924</v>
      </c>
      <c r="C319" s="3"/>
      <c r="D319" s="3"/>
      <c r="E319" s="3"/>
      <c r="F319" s="3"/>
      <c r="H319" s="1701" t="s">
        <v>2708</v>
      </c>
      <c r="I319" s="1701"/>
      <c r="J319" s="1701"/>
      <c r="K319" s="1701"/>
      <c r="L319" s="1701"/>
      <c r="M319" s="1701"/>
      <c r="N319" s="1701"/>
      <c r="O319" s="1701"/>
      <c r="P319" s="1701"/>
      <c r="Q319" s="1701"/>
      <c r="R319" s="1701"/>
      <c r="T319" s="3" t="s">
        <v>367</v>
      </c>
      <c r="V319" s="3"/>
      <c r="W319" s="3"/>
      <c r="X319" s="3"/>
      <c r="Y319" s="3"/>
      <c r="AA319" s="1701" t="s">
        <v>2713</v>
      </c>
      <c r="AB319" s="1701"/>
      <c r="AC319" s="1701"/>
      <c r="AD319" s="1701"/>
      <c r="AE319" s="1701"/>
      <c r="AF319" s="1701"/>
      <c r="AG319" s="1701"/>
      <c r="AH319" s="1701"/>
      <c r="AI319" s="1701"/>
      <c r="AJ319" s="1701"/>
      <c r="AK319" s="1701"/>
      <c r="BN319" s="34"/>
    </row>
    <row r="320" spans="2:66" ht="12.9" customHeight="1">
      <c r="B320" s="3" t="s">
        <v>480</v>
      </c>
      <c r="C320" s="3"/>
      <c r="D320" s="3"/>
      <c r="E320" s="3"/>
      <c r="F320" s="3"/>
      <c r="H320" s="1707" t="s">
        <v>2709</v>
      </c>
      <c r="I320" s="1707"/>
      <c r="J320" s="1707"/>
      <c r="K320" s="1707"/>
      <c r="L320" s="1707"/>
      <c r="M320" s="1707"/>
      <c r="N320" s="1707"/>
      <c r="O320" s="1707"/>
      <c r="P320" s="1707"/>
      <c r="Q320" s="1707"/>
      <c r="R320" s="1707"/>
      <c r="T320" s="3" t="s">
        <v>480</v>
      </c>
      <c r="V320" s="3"/>
      <c r="W320" s="3"/>
      <c r="X320" s="3"/>
      <c r="Y320" s="3"/>
      <c r="AA320" s="1707" t="s">
        <v>2714</v>
      </c>
      <c r="AB320" s="1707"/>
      <c r="AC320" s="1707"/>
      <c r="AD320" s="1707"/>
      <c r="AE320" s="1707"/>
      <c r="AF320" s="1707"/>
      <c r="AG320" s="1707"/>
      <c r="AH320" s="1707"/>
      <c r="AI320" s="1707"/>
      <c r="AJ320" s="1707"/>
      <c r="AK320" s="1707"/>
      <c r="BN320" s="34"/>
    </row>
    <row r="321" spans="2:66" ht="12.9" customHeight="1">
      <c r="B321" s="3" t="s">
        <v>481</v>
      </c>
      <c r="C321" s="3"/>
      <c r="D321" s="3"/>
      <c r="E321" s="3"/>
      <c r="F321" s="3"/>
      <c r="H321" s="1707" t="s">
        <v>2710</v>
      </c>
      <c r="I321" s="1707"/>
      <c r="J321" s="1707"/>
      <c r="K321" s="1707"/>
      <c r="L321" s="1707"/>
      <c r="M321" s="1707"/>
      <c r="N321" s="1707"/>
      <c r="O321" s="1707"/>
      <c r="P321" s="1707"/>
      <c r="Q321" s="1707"/>
      <c r="R321" s="1707"/>
      <c r="T321" s="3" t="s">
        <v>75</v>
      </c>
      <c r="V321" s="3"/>
      <c r="W321" s="3"/>
      <c r="X321" s="3"/>
      <c r="Y321" s="3"/>
      <c r="AA321" s="1707" t="s">
        <v>2715</v>
      </c>
      <c r="AB321" s="1707"/>
      <c r="AC321" s="1707"/>
      <c r="AD321" s="1707"/>
      <c r="AE321" s="1707"/>
      <c r="AF321" s="1707"/>
      <c r="AG321" s="1707"/>
      <c r="AH321" s="1707"/>
      <c r="AI321" s="1707"/>
      <c r="AJ321" s="1707"/>
      <c r="AK321" s="1707"/>
      <c r="BN321" s="34"/>
    </row>
    <row r="322" spans="2:66" ht="12.9" customHeight="1">
      <c r="B322" s="3" t="s">
        <v>87</v>
      </c>
      <c r="C322" s="3"/>
      <c r="D322" s="3"/>
      <c r="E322" s="3"/>
      <c r="F322" s="3"/>
      <c r="H322" s="1707" t="s">
        <v>2711</v>
      </c>
      <c r="I322" s="1707"/>
      <c r="J322" s="1707"/>
      <c r="K322" s="1707"/>
      <c r="L322" s="1707"/>
      <c r="M322" s="1707"/>
      <c r="N322" s="1707"/>
      <c r="O322" s="1707"/>
      <c r="P322" s="1707"/>
      <c r="Q322" s="1707"/>
      <c r="R322" s="1707"/>
      <c r="T322" s="3" t="s">
        <v>87</v>
      </c>
      <c r="V322" s="3"/>
      <c r="W322" s="3"/>
      <c r="X322" s="3"/>
      <c r="Y322" s="3"/>
      <c r="AA322" s="1707" t="s">
        <v>2716</v>
      </c>
      <c r="AB322" s="1707"/>
      <c r="AC322" s="1707"/>
      <c r="AD322" s="1707"/>
      <c r="AE322" s="1707"/>
      <c r="AF322" s="1707"/>
      <c r="AG322" s="1707"/>
      <c r="AH322" s="1707"/>
      <c r="AI322" s="1707"/>
      <c r="AJ322" s="1707"/>
      <c r="AK322" s="1707"/>
      <c r="BN322" s="34"/>
    </row>
    <row r="323" spans="2:66" ht="12.9" customHeight="1">
      <c r="B323" s="3" t="s">
        <v>88</v>
      </c>
      <c r="C323" s="3"/>
      <c r="D323" s="3"/>
      <c r="E323" s="3"/>
      <c r="F323" s="3"/>
      <c r="G323" s="3"/>
      <c r="H323" s="1440"/>
      <c r="I323" s="1440"/>
      <c r="J323" s="1440"/>
      <c r="K323" s="1440"/>
      <c r="L323" s="1440"/>
      <c r="M323" s="1440"/>
      <c r="N323" s="4" t="s">
        <v>207</v>
      </c>
      <c r="O323" s="4"/>
      <c r="P323" s="1398"/>
      <c r="Q323" s="1398"/>
      <c r="R323" s="1398"/>
      <c r="S323" s="3"/>
      <c r="T323" s="3" t="s">
        <v>88</v>
      </c>
      <c r="V323" s="3"/>
      <c r="W323" s="3"/>
      <c r="X323" s="3"/>
      <c r="Y323" s="3"/>
      <c r="AA323" s="1484" t="s">
        <v>2717</v>
      </c>
      <c r="AB323" s="1484"/>
      <c r="AC323" s="1484"/>
      <c r="AD323" s="1484"/>
      <c r="AE323" s="1484"/>
      <c r="AF323" s="1484"/>
      <c r="AG323" s="4" t="s">
        <v>207</v>
      </c>
      <c r="AH323" s="4"/>
      <c r="AI323" s="1398"/>
      <c r="AJ323" s="1398"/>
      <c r="AK323" s="1398"/>
    </row>
    <row r="324" spans="2:66" ht="12.9"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c r="AB324" s="1390"/>
      <c r="AC324" s="1390"/>
      <c r="AD324" s="1390"/>
      <c r="AE324" s="1390"/>
      <c r="AF324" s="1390"/>
      <c r="AG324" s="4"/>
      <c r="AH324" s="4"/>
      <c r="AI324" s="35"/>
      <c r="AJ324" s="35"/>
      <c r="AK324" s="35"/>
    </row>
    <row r="325" spans="2:66" ht="12.9" customHeight="1">
      <c r="B325" s="3" t="s">
        <v>76</v>
      </c>
      <c r="C325" s="3"/>
      <c r="D325" s="3"/>
      <c r="E325" s="3"/>
      <c r="F325" s="3"/>
      <c r="G325" s="3"/>
      <c r="H325" s="1701" t="s">
        <v>2712</v>
      </c>
      <c r="I325" s="1701"/>
      <c r="J325" s="1701"/>
      <c r="K325" s="1701"/>
      <c r="L325" s="1701"/>
      <c r="M325" s="1701"/>
      <c r="N325" s="1701"/>
      <c r="O325" s="1701"/>
      <c r="P325" s="1701"/>
      <c r="Q325" s="1701"/>
      <c r="R325" s="1701"/>
      <c r="S325" s="3"/>
      <c r="T325" s="3" t="s">
        <v>76</v>
      </c>
      <c r="V325" s="3"/>
      <c r="W325" s="3"/>
      <c r="X325" s="3"/>
      <c r="Y325" s="3"/>
      <c r="AA325" s="1701" t="s">
        <v>2718</v>
      </c>
      <c r="AB325" s="1701"/>
      <c r="AC325" s="1701"/>
      <c r="AD325" s="1701"/>
      <c r="AE325" s="1701"/>
      <c r="AF325" s="1701"/>
      <c r="AG325" s="1701"/>
      <c r="AH325" s="1701"/>
      <c r="AI325" s="1701"/>
      <c r="AJ325" s="1701"/>
      <c r="AK325" s="1701"/>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701" t="s">
        <v>2719</v>
      </c>
      <c r="I327" s="1701"/>
      <c r="J327" s="1701"/>
      <c r="K327" s="1701"/>
      <c r="L327" s="1701"/>
      <c r="M327" s="1701"/>
      <c r="N327" s="1701"/>
      <c r="O327" s="1701"/>
      <c r="P327" s="1701"/>
      <c r="Q327" s="1701"/>
      <c r="R327" s="1701"/>
      <c r="T327" s="3" t="s">
        <v>369</v>
      </c>
      <c r="V327" s="3"/>
      <c r="W327" s="3"/>
      <c r="X327" s="3"/>
      <c r="Y327" s="3"/>
      <c r="AA327" s="1380"/>
      <c r="AB327" s="1380"/>
      <c r="AC327" s="1380"/>
      <c r="AD327" s="1380"/>
      <c r="AE327" s="1380"/>
      <c r="AF327" s="1380"/>
      <c r="AG327" s="1380"/>
      <c r="AH327" s="1380"/>
      <c r="AI327" s="1380"/>
      <c r="AJ327" s="1380"/>
      <c r="AK327" s="1380"/>
    </row>
    <row r="328" spans="2:66" ht="12.9" customHeight="1">
      <c r="B328" s="3" t="s">
        <v>480</v>
      </c>
      <c r="C328" s="3"/>
      <c r="D328" s="3"/>
      <c r="E328" s="3"/>
      <c r="F328" s="3"/>
      <c r="H328" s="1707" t="s">
        <v>2720</v>
      </c>
      <c r="I328" s="1707"/>
      <c r="J328" s="1707"/>
      <c r="K328" s="1707"/>
      <c r="L328" s="1707"/>
      <c r="M328" s="1707"/>
      <c r="N328" s="1707"/>
      <c r="O328" s="1707"/>
      <c r="P328" s="1707"/>
      <c r="Q328" s="1707"/>
      <c r="R328" s="1707"/>
      <c r="T328" s="3" t="s">
        <v>480</v>
      </c>
      <c r="V328" s="3"/>
      <c r="W328" s="3"/>
      <c r="X328" s="3"/>
      <c r="Y328" s="3"/>
      <c r="AA328" s="1433"/>
      <c r="AB328" s="1433"/>
      <c r="AC328" s="1433"/>
      <c r="AD328" s="1433"/>
      <c r="AE328" s="1433"/>
      <c r="AF328" s="1433"/>
      <c r="AG328" s="1433"/>
      <c r="AH328" s="1433"/>
      <c r="AI328" s="1433"/>
      <c r="AJ328" s="1433"/>
      <c r="AK328" s="1433"/>
    </row>
    <row r="329" spans="2:66" ht="12.9" customHeight="1">
      <c r="B329" s="3" t="s">
        <v>481</v>
      </c>
      <c r="C329" s="3"/>
      <c r="D329" s="3"/>
      <c r="E329" s="3"/>
      <c r="F329" s="3"/>
      <c r="H329" s="1707" t="s">
        <v>2721</v>
      </c>
      <c r="I329" s="1707"/>
      <c r="J329" s="1707"/>
      <c r="K329" s="1707"/>
      <c r="L329" s="1707"/>
      <c r="M329" s="1707"/>
      <c r="N329" s="1707"/>
      <c r="O329" s="1707"/>
      <c r="P329" s="1707"/>
      <c r="Q329" s="1707"/>
      <c r="R329" s="1707"/>
      <c r="T329" s="3" t="s">
        <v>75</v>
      </c>
      <c r="V329" s="3"/>
      <c r="W329" s="3"/>
      <c r="X329" s="3"/>
      <c r="Y329" s="3"/>
      <c r="AA329" s="1433"/>
      <c r="AB329" s="1433"/>
      <c r="AC329" s="1433"/>
      <c r="AD329" s="1433"/>
      <c r="AE329" s="1433"/>
      <c r="AF329" s="1433"/>
      <c r="AG329" s="1433"/>
      <c r="AH329" s="1433"/>
      <c r="AI329" s="1433"/>
      <c r="AJ329" s="1433"/>
      <c r="AK329" s="1433"/>
    </row>
    <row r="330" spans="2:66" ht="12.9" customHeight="1">
      <c r="B330" s="3" t="s">
        <v>87</v>
      </c>
      <c r="C330" s="3"/>
      <c r="D330" s="3"/>
      <c r="E330" s="3"/>
      <c r="F330" s="3"/>
      <c r="H330" s="1707" t="s">
        <v>2722</v>
      </c>
      <c r="I330" s="1707"/>
      <c r="J330" s="1707"/>
      <c r="K330" s="1707"/>
      <c r="L330" s="1707"/>
      <c r="M330" s="1707"/>
      <c r="N330" s="1707"/>
      <c r="O330" s="1707"/>
      <c r="P330" s="1707"/>
      <c r="Q330" s="1707"/>
      <c r="R330" s="1707"/>
      <c r="T330" s="3" t="s">
        <v>87</v>
      </c>
      <c r="V330" s="3"/>
      <c r="W330" s="3"/>
      <c r="X330" s="3"/>
      <c r="Y330" s="3"/>
      <c r="AA330" s="1433"/>
      <c r="AB330" s="1433"/>
      <c r="AC330" s="1433"/>
      <c r="AD330" s="1433"/>
      <c r="AE330" s="1433"/>
      <c r="AF330" s="1433"/>
      <c r="AG330" s="1433"/>
      <c r="AH330" s="1433"/>
      <c r="AI330" s="1433"/>
      <c r="AJ330" s="1433"/>
      <c r="AK330" s="1433"/>
    </row>
    <row r="331" spans="2:66" ht="12.9" customHeight="1">
      <c r="B331" s="3" t="s">
        <v>88</v>
      </c>
      <c r="C331" s="3"/>
      <c r="D331" s="3"/>
      <c r="E331" s="3"/>
      <c r="F331" s="3"/>
      <c r="G331" s="3"/>
      <c r="H331" s="1484" t="s">
        <v>2723</v>
      </c>
      <c r="I331" s="1484"/>
      <c r="J331" s="1484"/>
      <c r="K331" s="1484"/>
      <c r="L331" s="1484"/>
      <c r="M331" s="1484"/>
      <c r="N331" s="4" t="s">
        <v>207</v>
      </c>
      <c r="O331" s="4"/>
      <c r="P331" s="1398">
        <v>7218</v>
      </c>
      <c r="Q331" s="1398"/>
      <c r="R331" s="1398"/>
      <c r="S331" s="3"/>
      <c r="T331" s="3" t="s">
        <v>88</v>
      </c>
      <c r="V331" s="3"/>
      <c r="W331" s="3"/>
      <c r="X331" s="3"/>
      <c r="Y331" s="3"/>
      <c r="AA331" s="1440"/>
      <c r="AB331" s="1440"/>
      <c r="AC331" s="1440"/>
      <c r="AD331" s="1440"/>
      <c r="AE331" s="1440"/>
      <c r="AF331" s="1440"/>
      <c r="AG331" s="4" t="s">
        <v>207</v>
      </c>
      <c r="AH331" s="4"/>
      <c r="AI331" s="1398"/>
      <c r="AJ331" s="1398"/>
      <c r="AK331" s="1398"/>
    </row>
    <row r="332" spans="2:66" ht="12.9" customHeight="1">
      <c r="B332" s="3" t="s">
        <v>89</v>
      </c>
      <c r="C332" s="3"/>
      <c r="D332" s="3"/>
      <c r="E332" s="3"/>
      <c r="F332" s="3"/>
      <c r="G332" s="3"/>
      <c r="H332" s="1484" t="s">
        <v>2724</v>
      </c>
      <c r="I332" s="1484"/>
      <c r="J332" s="1484"/>
      <c r="K332" s="1484"/>
      <c r="L332" s="1484"/>
      <c r="M332" s="1484"/>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 customHeight="1">
      <c r="B333" s="3" t="s">
        <v>76</v>
      </c>
      <c r="C333" s="3"/>
      <c r="D333" s="3"/>
      <c r="E333" s="3"/>
      <c r="F333" s="3"/>
      <c r="G333" s="3"/>
      <c r="H333" s="1701" t="s">
        <v>2725</v>
      </c>
      <c r="I333" s="1701"/>
      <c r="J333" s="1701"/>
      <c r="K333" s="1701"/>
      <c r="L333" s="1701"/>
      <c r="M333" s="1701"/>
      <c r="N333" s="1701"/>
      <c r="O333" s="1701"/>
      <c r="P333" s="1701"/>
      <c r="Q333" s="1701"/>
      <c r="R333" s="1701"/>
      <c r="S333" s="3"/>
      <c r="T333" s="3" t="s">
        <v>76</v>
      </c>
      <c r="V333" s="3"/>
      <c r="W333" s="3"/>
      <c r="X333" s="3"/>
      <c r="Y333" s="3"/>
      <c r="AA333" s="1433"/>
      <c r="AB333" s="1433"/>
      <c r="AC333" s="1433"/>
      <c r="AD333" s="1433"/>
      <c r="AE333" s="1433"/>
      <c r="AF333" s="1433"/>
      <c r="AG333" s="1380"/>
      <c r="AH333" s="1380"/>
      <c r="AI333" s="1380"/>
      <c r="AJ333" s="1380"/>
      <c r="AK333" s="1380"/>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701" t="s">
        <v>2726</v>
      </c>
      <c r="I335" s="1701"/>
      <c r="J335" s="1701"/>
      <c r="K335" s="1701"/>
      <c r="L335" s="1701"/>
      <c r="M335" s="1701"/>
      <c r="N335" s="1701"/>
      <c r="O335" s="1701"/>
      <c r="P335" s="1701"/>
      <c r="Q335" s="1701"/>
      <c r="R335" s="1701"/>
      <c r="T335" s="218" t="s">
        <v>900</v>
      </c>
      <c r="V335" s="3"/>
      <c r="W335" s="3"/>
      <c r="X335" s="3"/>
      <c r="Y335" s="3"/>
      <c r="AA335" s="1701" t="s">
        <v>2733</v>
      </c>
      <c r="AB335" s="1701"/>
      <c r="AC335" s="1701"/>
      <c r="AD335" s="1701"/>
      <c r="AE335" s="1701"/>
      <c r="AF335" s="1701"/>
      <c r="AG335" s="1701"/>
      <c r="AH335" s="1701"/>
      <c r="AI335" s="1701"/>
      <c r="AJ335" s="1701"/>
      <c r="AK335" s="1701"/>
    </row>
    <row r="336" spans="2:66" ht="12.9" customHeight="1">
      <c r="B336" s="3" t="s">
        <v>480</v>
      </c>
      <c r="C336" s="3"/>
      <c r="D336" s="3"/>
      <c r="E336" s="3"/>
      <c r="F336" s="3"/>
      <c r="H336" s="1707" t="s">
        <v>2727</v>
      </c>
      <c r="I336" s="1707"/>
      <c r="J336" s="1707"/>
      <c r="K336" s="1707"/>
      <c r="L336" s="1707"/>
      <c r="M336" s="1707"/>
      <c r="N336" s="1707"/>
      <c r="O336" s="1707"/>
      <c r="P336" s="1707"/>
      <c r="Q336" s="1707"/>
      <c r="R336" s="1707"/>
      <c r="T336" s="3" t="s">
        <v>480</v>
      </c>
      <c r="V336" s="3"/>
      <c r="W336" s="3"/>
      <c r="X336" s="3"/>
      <c r="Y336" s="3"/>
      <c r="AA336" s="1707" t="s">
        <v>2734</v>
      </c>
      <c r="AB336" s="1707"/>
      <c r="AC336" s="1707"/>
      <c r="AD336" s="1707"/>
      <c r="AE336" s="1707"/>
      <c r="AF336" s="1707"/>
      <c r="AG336" s="1707"/>
      <c r="AH336" s="1707"/>
      <c r="AI336" s="1707"/>
      <c r="AJ336" s="1707"/>
      <c r="AK336" s="1707"/>
    </row>
    <row r="337" spans="1:66" ht="12.9" customHeight="1">
      <c r="B337" s="3" t="s">
        <v>75</v>
      </c>
      <c r="C337" s="3"/>
      <c r="D337" s="3"/>
      <c r="E337" s="3"/>
      <c r="F337" s="3"/>
      <c r="H337" s="1707" t="s">
        <v>2728</v>
      </c>
      <c r="I337" s="1707"/>
      <c r="J337" s="1707"/>
      <c r="K337" s="1707"/>
      <c r="L337" s="1707"/>
      <c r="M337" s="1707"/>
      <c r="N337" s="1707"/>
      <c r="O337" s="1707"/>
      <c r="P337" s="1707"/>
      <c r="Q337" s="1707"/>
      <c r="R337" s="1707"/>
      <c r="T337" s="3" t="s">
        <v>75</v>
      </c>
      <c r="V337" s="3"/>
      <c r="W337" s="3"/>
      <c r="X337" s="3"/>
      <c r="Y337" s="3"/>
      <c r="AA337" s="1707" t="s">
        <v>2735</v>
      </c>
      <c r="AB337" s="1707"/>
      <c r="AC337" s="1707"/>
      <c r="AD337" s="1707"/>
      <c r="AE337" s="1707"/>
      <c r="AF337" s="1707"/>
      <c r="AG337" s="1707"/>
      <c r="AH337" s="1707"/>
      <c r="AI337" s="1707"/>
      <c r="AJ337" s="1707"/>
      <c r="AK337" s="1707"/>
    </row>
    <row r="338" spans="1:66" ht="12.9" customHeight="1">
      <c r="B338" s="3" t="s">
        <v>87</v>
      </c>
      <c r="C338" s="3"/>
      <c r="D338" s="3"/>
      <c r="E338" s="3"/>
      <c r="F338" s="3"/>
      <c r="G338" s="3"/>
      <c r="H338" s="1707" t="s">
        <v>2729</v>
      </c>
      <c r="I338" s="1707"/>
      <c r="J338" s="1707"/>
      <c r="K338" s="1707"/>
      <c r="L338" s="1707"/>
      <c r="M338" s="1707"/>
      <c r="N338" s="1707"/>
      <c r="O338" s="1707"/>
      <c r="P338" s="1707"/>
      <c r="Q338" s="1707"/>
      <c r="R338" s="1707"/>
      <c r="T338" s="3" t="s">
        <v>87</v>
      </c>
      <c r="V338" s="3"/>
      <c r="W338" s="3"/>
      <c r="X338" s="3"/>
      <c r="Y338" s="3"/>
      <c r="AA338" s="1707" t="s">
        <v>2736</v>
      </c>
      <c r="AB338" s="1707"/>
      <c r="AC338" s="1707"/>
      <c r="AD338" s="1707"/>
      <c r="AE338" s="1707"/>
      <c r="AF338" s="1707"/>
      <c r="AG338" s="1707"/>
      <c r="AH338" s="1707"/>
      <c r="AI338" s="1707"/>
      <c r="AJ338" s="1707"/>
      <c r="AK338" s="1707"/>
    </row>
    <row r="339" spans="1:66" ht="12.9" customHeight="1">
      <c r="B339" s="3" t="s">
        <v>88</v>
      </c>
      <c r="C339" s="3"/>
      <c r="D339" s="3"/>
      <c r="E339" s="3"/>
      <c r="F339" s="3"/>
      <c r="G339" s="3"/>
      <c r="H339" s="1484" t="s">
        <v>2730</v>
      </c>
      <c r="I339" s="1484"/>
      <c r="J339" s="1484"/>
      <c r="K339" s="1484"/>
      <c r="L339" s="1484"/>
      <c r="M339" s="1484"/>
      <c r="N339" s="4" t="s">
        <v>207</v>
      </c>
      <c r="O339" s="4"/>
      <c r="P339" s="1398"/>
      <c r="Q339" s="1398"/>
      <c r="R339" s="1398"/>
      <c r="S339" s="3"/>
      <c r="T339" s="3" t="s">
        <v>88</v>
      </c>
      <c r="V339" s="3"/>
      <c r="W339" s="3"/>
      <c r="X339" s="3"/>
      <c r="Y339" s="3"/>
      <c r="AA339" s="1484" t="s">
        <v>2737</v>
      </c>
      <c r="AB339" s="1484"/>
      <c r="AC339" s="1484"/>
      <c r="AD339" s="1484"/>
      <c r="AE339" s="1484"/>
      <c r="AF339" s="1484"/>
      <c r="AG339" s="4" t="s">
        <v>207</v>
      </c>
      <c r="AH339" s="4"/>
      <c r="AI339" s="1398"/>
      <c r="AJ339" s="1398"/>
      <c r="AK339" s="1398"/>
    </row>
    <row r="340" spans="1:66" ht="12.9" customHeight="1">
      <c r="B340" s="3" t="s">
        <v>89</v>
      </c>
      <c r="C340" s="3"/>
      <c r="D340" s="3"/>
      <c r="E340" s="3"/>
      <c r="F340" s="3"/>
      <c r="G340" s="3"/>
      <c r="H340" s="1484" t="s">
        <v>2731</v>
      </c>
      <c r="I340" s="1484"/>
      <c r="J340" s="1484"/>
      <c r="K340" s="1484"/>
      <c r="L340" s="1484"/>
      <c r="M340" s="1484"/>
      <c r="N340" s="4"/>
      <c r="O340" s="4"/>
      <c r="P340" s="35"/>
      <c r="Q340" s="35"/>
      <c r="R340" s="35"/>
      <c r="S340" s="3"/>
      <c r="T340" s="3" t="s">
        <v>89</v>
      </c>
      <c r="V340" s="3"/>
      <c r="W340" s="3"/>
      <c r="X340" s="3"/>
      <c r="Y340" s="3"/>
      <c r="AA340" s="1390"/>
      <c r="AB340" s="1390"/>
      <c r="AC340" s="1390"/>
      <c r="AD340" s="1390"/>
      <c r="AE340" s="1390"/>
      <c r="AF340" s="1390"/>
      <c r="AG340" s="4"/>
      <c r="AH340" s="4"/>
      <c r="AI340" s="35"/>
      <c r="AJ340" s="35"/>
      <c r="AK340" s="35"/>
    </row>
    <row r="341" spans="1:66" ht="12.9" customHeight="1">
      <c r="B341" s="3" t="s">
        <v>76</v>
      </c>
      <c r="C341" s="3"/>
      <c r="D341" s="3"/>
      <c r="E341" s="3"/>
      <c r="F341" s="3"/>
      <c r="G341" s="3"/>
      <c r="H341" s="1701" t="s">
        <v>2732</v>
      </c>
      <c r="I341" s="1701"/>
      <c r="J341" s="1701"/>
      <c r="K341" s="1701"/>
      <c r="L341" s="1701"/>
      <c r="M341" s="1701"/>
      <c r="N341" s="1701"/>
      <c r="O341" s="1701"/>
      <c r="P341" s="1701"/>
      <c r="Q341" s="1701"/>
      <c r="R341" s="1701"/>
      <c r="S341" s="3"/>
      <c r="T341" s="3" t="s">
        <v>76</v>
      </c>
      <c r="V341" s="3"/>
      <c r="W341" s="3"/>
      <c r="X341" s="3"/>
      <c r="Y341" s="3"/>
      <c r="AA341" s="1701" t="s">
        <v>2738</v>
      </c>
      <c r="AB341" s="1701"/>
      <c r="AC341" s="1701"/>
      <c r="AD341" s="1701"/>
      <c r="AE341" s="1701"/>
      <c r="AF341" s="1701"/>
      <c r="AG341" s="1701"/>
      <c r="AH341" s="1701"/>
      <c r="AI341" s="1701"/>
      <c r="AJ341" s="1701"/>
      <c r="AK341" s="1701"/>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45"/>
      <c r="AD347" s="1445"/>
      <c r="AE347" s="1445"/>
      <c r="AF347" s="324"/>
      <c r="AG347" s="4"/>
      <c r="AH347" s="4"/>
      <c r="AI347" s="4"/>
      <c r="AJ347" s="4"/>
      <c r="AK347" s="4"/>
    </row>
    <row r="348" spans="1:66" ht="12.9"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 customHeight="1">
      <c r="T350" s="8"/>
      <c r="U350" s="8"/>
      <c r="V350" s="8"/>
      <c r="W350" s="8"/>
      <c r="X350" s="8"/>
      <c r="Y350" s="8"/>
      <c r="Z350" s="8"/>
      <c r="AU350" s="95"/>
      <c r="AV350" s="95"/>
      <c r="AW350" s="95"/>
      <c r="AX350" s="95"/>
      <c r="AY350" s="95"/>
    </row>
    <row r="351" spans="1:66" ht="12.9"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379" t="s">
        <v>554</v>
      </c>
      <c r="N355" s="1379"/>
      <c r="P355" t="s">
        <v>1762</v>
      </c>
      <c r="AJ355" s="1379" t="s">
        <v>554</v>
      </c>
      <c r="AK355" s="1379"/>
    </row>
    <row r="356" spans="1:46" ht="12.9" customHeight="1">
      <c r="D356" s="3" t="s">
        <v>1751</v>
      </c>
      <c r="M356" s="1379" t="s">
        <v>600</v>
      </c>
      <c r="N356" s="1379"/>
      <c r="P356" s="3" t="s">
        <v>1908</v>
      </c>
      <c r="AJ356" s="1435"/>
      <c r="AK356" s="1435"/>
    </row>
    <row r="357" spans="1:46" ht="12.9" customHeight="1">
      <c r="D357" s="3" t="s">
        <v>714</v>
      </c>
      <c r="M357" s="1379" t="s">
        <v>600</v>
      </c>
      <c r="N357" s="1379"/>
      <c r="P357" t="s">
        <v>1761</v>
      </c>
      <c r="AJ357" s="1379" t="s">
        <v>600</v>
      </c>
      <c r="AK357" s="1379"/>
    </row>
    <row r="358" spans="1:46" ht="12.9" customHeight="1">
      <c r="D358" s="3" t="s">
        <v>715</v>
      </c>
      <c r="M358" s="1379" t="s">
        <v>600</v>
      </c>
      <c r="N358" s="1379"/>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 customHeight="1">
      <c r="E364" t="s">
        <v>371</v>
      </c>
      <c r="Y364" s="1379" t="s">
        <v>600</v>
      </c>
      <c r="Z364" s="1379"/>
    </row>
    <row r="365" spans="1:46" ht="12.9"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 customHeight="1">
      <c r="E370" s="4" t="s">
        <v>457</v>
      </c>
      <c r="F370" s="4"/>
      <c r="G370" s="4"/>
      <c r="H370" s="4"/>
      <c r="I370" s="4"/>
      <c r="J370" s="4"/>
      <c r="K370" s="4"/>
      <c r="L370" s="4"/>
      <c r="N370" s="1646"/>
      <c r="O370" s="1646"/>
      <c r="P370" s="1646"/>
      <c r="Q370" s="1646"/>
      <c r="R370" s="4"/>
      <c r="U370" s="4" t="s">
        <v>458</v>
      </c>
      <c r="V370" s="4"/>
      <c r="W370" s="4"/>
      <c r="X370" s="4"/>
      <c r="Y370" s="4"/>
      <c r="Z370" s="4"/>
      <c r="AA370" s="4"/>
      <c r="AB370" s="4"/>
      <c r="AC370" s="1646"/>
      <c r="AD370" s="1646"/>
      <c r="AE370" s="1646"/>
      <c r="AF370" s="1646"/>
    </row>
    <row r="371" spans="1:34" ht="12.9" customHeight="1">
      <c r="E371" s="4" t="s">
        <v>459</v>
      </c>
      <c r="F371" s="4"/>
      <c r="G371" s="4"/>
      <c r="H371" s="4"/>
      <c r="I371" s="4"/>
      <c r="J371" s="4"/>
      <c r="K371" s="4"/>
      <c r="L371" s="4"/>
      <c r="N371" s="1646"/>
      <c r="O371" s="1646"/>
      <c r="P371" s="1646"/>
      <c r="Q371" s="1646"/>
      <c r="R371" s="4"/>
      <c r="U371" s="4" t="s">
        <v>0</v>
      </c>
      <c r="V371" s="4"/>
      <c r="W371" s="4"/>
      <c r="X371" s="4"/>
      <c r="Y371" s="4"/>
      <c r="Z371" s="4"/>
      <c r="AA371" s="4"/>
      <c r="AB371" s="4"/>
      <c r="AC371" s="1646"/>
      <c r="AD371" s="1646"/>
      <c r="AE371" s="1646"/>
      <c r="AF371" s="1646"/>
    </row>
    <row r="372" spans="1:34" ht="12.9" customHeight="1">
      <c r="E372" s="4" t="s">
        <v>1</v>
      </c>
      <c r="F372" s="4"/>
      <c r="G372" s="4"/>
      <c r="H372" s="4"/>
      <c r="I372" s="4"/>
      <c r="J372" s="4"/>
      <c r="K372" s="4"/>
      <c r="L372" s="4"/>
      <c r="N372" s="1646"/>
      <c r="O372" s="1646"/>
      <c r="P372" s="1646"/>
      <c r="Q372" s="1646"/>
      <c r="R372" s="4"/>
      <c r="V372" s="4"/>
      <c r="W372" s="4"/>
      <c r="X372" s="4"/>
      <c r="Y372" s="4"/>
      <c r="Z372" s="4"/>
      <c r="AA372" s="4"/>
      <c r="AB372" s="4"/>
    </row>
    <row r="373" spans="1:34" ht="12.9" customHeight="1">
      <c r="E373" s="4" t="s">
        <v>2</v>
      </c>
      <c r="F373" s="4"/>
      <c r="G373" s="4"/>
      <c r="H373" s="4"/>
      <c r="I373" s="4"/>
      <c r="J373" s="4"/>
      <c r="K373" s="4"/>
      <c r="L373" s="4"/>
      <c r="N373" s="1863"/>
      <c r="O373" s="1863"/>
      <c r="P373" s="1863"/>
      <c r="Q373" s="1863"/>
      <c r="R373" s="1863"/>
      <c r="S373" s="1863"/>
      <c r="T373" s="1863"/>
      <c r="U373" s="1863"/>
      <c r="V373" s="1863"/>
      <c r="W373" s="1863"/>
      <c r="X373" s="1863"/>
      <c r="Y373" s="1863"/>
      <c r="Z373" s="1863"/>
      <c r="AA373" s="1863"/>
      <c r="AB373" s="1863"/>
      <c r="AC373" s="1863"/>
      <c r="AD373" s="1863"/>
      <c r="AE373" s="1863"/>
      <c r="AF373" s="1863"/>
    </row>
    <row r="374" spans="1:34" ht="12.9" customHeight="1">
      <c r="E374" s="4"/>
      <c r="F374" s="4"/>
      <c r="G374" s="4"/>
      <c r="H374" s="4"/>
      <c r="I374" s="4"/>
      <c r="J374" s="4"/>
      <c r="K374" s="4"/>
      <c r="L374" s="4"/>
      <c r="N374" s="1864"/>
      <c r="O374" s="1864"/>
      <c r="P374" s="1864"/>
      <c r="Q374" s="1864"/>
      <c r="R374" s="1864"/>
      <c r="S374" s="1864"/>
      <c r="T374" s="1864"/>
      <c r="U374" s="1864"/>
      <c r="V374" s="1864"/>
      <c r="W374" s="1864"/>
      <c r="X374" s="1864"/>
      <c r="Y374" s="1864"/>
      <c r="Z374" s="1864"/>
      <c r="AA374" s="1864"/>
      <c r="AB374" s="1864"/>
      <c r="AC374" s="1864"/>
      <c r="AD374" s="1864"/>
      <c r="AE374" s="1864"/>
      <c r="AF374" s="1864"/>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689"/>
      <c r="T377" s="1689"/>
      <c r="U377" s="1" t="s">
        <v>307</v>
      </c>
      <c r="V377" s="1689"/>
      <c r="W377" s="1689"/>
      <c r="Y377" t="s">
        <v>2395</v>
      </c>
      <c r="AC377" s="27" t="s">
        <v>306</v>
      </c>
      <c r="AD377" s="1689"/>
      <c r="AE377" s="1689"/>
      <c r="AF377" s="1" t="s">
        <v>307</v>
      </c>
      <c r="AG377" s="1689"/>
      <c r="AH377" s="1689"/>
    </row>
    <row r="378" spans="1:34" ht="12.9" customHeight="1">
      <c r="E378" s="4" t="s">
        <v>1012</v>
      </c>
      <c r="F378" s="4"/>
      <c r="G378" s="4"/>
      <c r="H378" s="4"/>
      <c r="I378" s="4"/>
      <c r="J378" s="4"/>
      <c r="K378" s="4"/>
      <c r="L378" s="4"/>
      <c r="N378" s="1689"/>
      <c r="O378" s="1689"/>
      <c r="P378" s="1689"/>
    </row>
    <row r="379" spans="1:34" ht="12.9" customHeight="1">
      <c r="E379" s="218" t="s">
        <v>2401</v>
      </c>
      <c r="F379" s="4"/>
      <c r="G379" s="4"/>
      <c r="H379" s="4"/>
      <c r="I379" s="4"/>
      <c r="J379" s="4"/>
      <c r="K379" s="4"/>
      <c r="L379" s="4"/>
      <c r="AG379" s="1694" t="s">
        <v>600</v>
      </c>
      <c r="AH379" s="1694"/>
    </row>
    <row r="380" spans="1:34" ht="12.9" customHeight="1">
      <c r="E380" s="4"/>
      <c r="F380" s="4"/>
      <c r="G380" s="4" t="s">
        <v>2402</v>
      </c>
      <c r="H380" s="4"/>
      <c r="I380" s="4"/>
      <c r="J380" s="4"/>
      <c r="K380" s="4"/>
      <c r="L380" s="4"/>
      <c r="AG380" s="1694" t="s">
        <v>600</v>
      </c>
      <c r="AH380" s="1694"/>
    </row>
    <row r="381" spans="1:34" ht="12.9" customHeight="1">
      <c r="E381" s="4"/>
      <c r="F381" s="4"/>
      <c r="G381" s="348" t="s">
        <v>1013</v>
      </c>
      <c r="H381" s="4"/>
      <c r="I381" s="4"/>
      <c r="J381" s="4"/>
      <c r="K381" s="4"/>
      <c r="L381" s="4"/>
      <c r="V381" s="1379" t="s">
        <v>600</v>
      </c>
      <c r="W381" s="1379"/>
      <c r="Y381" s="22" t="s">
        <v>1000</v>
      </c>
    </row>
    <row r="382" spans="1:34" ht="12.9" customHeight="1">
      <c r="E382" s="4" t="s">
        <v>1001</v>
      </c>
      <c r="F382" s="4"/>
      <c r="G382" s="4"/>
      <c r="H382" s="4"/>
      <c r="I382" s="4"/>
      <c r="J382" s="4"/>
      <c r="K382" s="4"/>
      <c r="L382" s="4"/>
      <c r="V382" s="1379" t="s">
        <v>600</v>
      </c>
      <c r="W382" s="1379"/>
      <c r="Y382" s="4" t="s">
        <v>1002</v>
      </c>
    </row>
    <row r="383" spans="1:34" ht="12.9" customHeight="1"/>
    <row r="384" spans="1:34" ht="12.9" customHeight="1">
      <c r="A384" s="2" t="s">
        <v>78</v>
      </c>
      <c r="B384" s="2"/>
    </row>
    <row r="385" spans="4:36" ht="12.9" customHeight="1">
      <c r="D385" t="s">
        <v>429</v>
      </c>
      <c r="J385" s="1380"/>
      <c r="K385" s="1380"/>
      <c r="L385" s="1380"/>
      <c r="M385" s="1380"/>
      <c r="N385" s="1380"/>
      <c r="O385" s="1380"/>
      <c r="P385" s="1380"/>
      <c r="Q385" s="1380"/>
      <c r="R385" s="1380"/>
      <c r="S385" s="1380"/>
      <c r="T385" s="1380"/>
      <c r="U385" s="1380"/>
      <c r="V385" s="8" t="s">
        <v>83</v>
      </c>
      <c r="W385" s="8"/>
      <c r="X385" s="8"/>
      <c r="Y385" s="8"/>
      <c r="Z385" s="8"/>
      <c r="AA385" s="8"/>
      <c r="AB385" s="8"/>
      <c r="AC385" s="1380"/>
      <c r="AD385" s="1380"/>
      <c r="AE385" s="1380"/>
      <c r="AF385" s="1380"/>
      <c r="AG385" s="1380"/>
      <c r="AH385" s="1380"/>
      <c r="AI385" s="1380"/>
      <c r="AJ385" s="1380"/>
    </row>
    <row r="386" spans="4:36" ht="12.9" customHeight="1">
      <c r="D386" s="3" t="s">
        <v>1289</v>
      </c>
      <c r="J386" s="1433"/>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 customHeight="1">
      <c r="D387" s="3" t="s">
        <v>444</v>
      </c>
      <c r="J387" s="1433"/>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 customHeight="1">
      <c r="D388" t="s">
        <v>1285</v>
      </c>
      <c r="J388" s="1628"/>
      <c r="K388" s="1628"/>
      <c r="L388" s="1628"/>
      <c r="M388" s="1628"/>
      <c r="N388" s="1628"/>
      <c r="O388" s="1628"/>
      <c r="P388" s="1628"/>
      <c r="Q388" s="1628"/>
      <c r="R388" s="1628"/>
      <c r="S388" s="1628"/>
      <c r="T388" s="1628"/>
      <c r="U388" s="1628"/>
      <c r="V388" s="1380"/>
      <c r="W388" s="1380"/>
      <c r="X388" s="1380"/>
      <c r="Y388" s="1380"/>
      <c r="Z388" s="1380"/>
      <c r="AA388" s="1380"/>
      <c r="AB388" s="1380"/>
      <c r="AC388" s="1380"/>
      <c r="AD388" s="1380"/>
      <c r="AE388" s="1380"/>
      <c r="AF388" s="1380"/>
      <c r="AG388" s="1380"/>
      <c r="AH388" s="1380"/>
      <c r="AI388" s="1380"/>
      <c r="AJ388" s="1380"/>
    </row>
    <row r="389" spans="4:36" ht="12.9" customHeight="1">
      <c r="D389" t="s">
        <v>4</v>
      </c>
      <c r="Q389" s="1693"/>
      <c r="R389" s="1693"/>
      <c r="S389" s="1693"/>
      <c r="T389" s="1693"/>
      <c r="U389" s="1693"/>
      <c r="V389" t="s">
        <v>310</v>
      </c>
      <c r="AI389" s="1379" t="s">
        <v>678</v>
      </c>
      <c r="AJ389" s="1379"/>
    </row>
    <row r="390" spans="4:36" ht="12.9" customHeight="1">
      <c r="D390" t="s">
        <v>5</v>
      </c>
      <c r="Q390" s="1602"/>
      <c r="R390" s="1690"/>
      <c r="S390" s="1690"/>
      <c r="T390" s="1690"/>
      <c r="U390" s="1690"/>
      <c r="W390" s="21" t="s">
        <v>74</v>
      </c>
      <c r="AG390" s="1687"/>
      <c r="AH390" s="1687"/>
      <c r="AI390" s="1687"/>
      <c r="AJ390" s="1687"/>
    </row>
    <row r="391" spans="4:36" ht="12.9" customHeight="1">
      <c r="D391" t="s">
        <v>428</v>
      </c>
      <c r="Q391" s="1688"/>
      <c r="R391" s="1688"/>
      <c r="S391" s="1688"/>
      <c r="T391" s="1688"/>
      <c r="U391" s="1688"/>
      <c r="V391" s="3" t="s">
        <v>1288</v>
      </c>
      <c r="AG391" s="1818"/>
      <c r="AH391" s="1818"/>
      <c r="AI391" s="1818"/>
      <c r="AJ391" s="1818"/>
    </row>
    <row r="392" spans="4:36" ht="12.9" customHeight="1">
      <c r="D392" t="s">
        <v>88</v>
      </c>
      <c r="I392" s="1440"/>
      <c r="J392" s="1440"/>
      <c r="K392" s="1440"/>
      <c r="L392" s="1440"/>
      <c r="M392" s="1440"/>
      <c r="N392" s="1440"/>
      <c r="Q392" s="4" t="s">
        <v>207</v>
      </c>
      <c r="S392" s="1692"/>
      <c r="T392" s="1692"/>
      <c r="U392" s="1692"/>
      <c r="V392" t="s">
        <v>73</v>
      </c>
      <c r="AI392" s="1379" t="s">
        <v>678</v>
      </c>
      <c r="AJ392" s="1379"/>
    </row>
    <row r="393" spans="4:36" ht="12.9" customHeight="1">
      <c r="D393" t="s">
        <v>311</v>
      </c>
      <c r="Q393" s="1561"/>
      <c r="R393" s="1561"/>
      <c r="S393" s="1561"/>
      <c r="T393" s="1561"/>
      <c r="U393" s="1561"/>
      <c r="V393" t="s">
        <v>312</v>
      </c>
      <c r="AG393" s="1687"/>
      <c r="AH393" s="1687"/>
      <c r="AI393" s="1687"/>
      <c r="AJ393" s="1687"/>
    </row>
    <row r="394" spans="4:36" ht="12.9" customHeight="1">
      <c r="D394" t="s">
        <v>313</v>
      </c>
      <c r="Q394" s="1771"/>
      <c r="R394" s="1771"/>
      <c r="S394" s="1771"/>
      <c r="T394" s="1771"/>
      <c r="U394" s="1771"/>
      <c r="V394" t="s">
        <v>1269</v>
      </c>
      <c r="AG394" s="1687"/>
      <c r="AH394" s="1687"/>
      <c r="AI394" s="1687"/>
      <c r="AJ394" s="1687"/>
    </row>
    <row r="395" spans="4:36" ht="12.9" customHeight="1">
      <c r="D395" t="s">
        <v>1268</v>
      </c>
      <c r="AG395" s="1687"/>
      <c r="AH395" s="1687"/>
      <c r="AI395" s="1687"/>
      <c r="AJ395" s="1687"/>
    </row>
    <row r="396" spans="4:36" ht="12.9" customHeight="1">
      <c r="AG396" s="490"/>
      <c r="AH396" s="490"/>
      <c r="AI396" s="490"/>
      <c r="AJ396" s="490"/>
    </row>
    <row r="397" spans="4:36" ht="12.9" customHeight="1">
      <c r="D397" s="3" t="s">
        <v>2501</v>
      </c>
      <c r="AG397" s="490"/>
      <c r="AH397" s="490"/>
      <c r="AI397" s="1379" t="s">
        <v>678</v>
      </c>
      <c r="AJ397" s="1379"/>
    </row>
    <row r="398" spans="4:36" ht="12.9" customHeight="1">
      <c r="D398" s="3" t="s">
        <v>1780</v>
      </c>
      <c r="T398" s="1812"/>
      <c r="U398" s="1812"/>
      <c r="V398" s="1812"/>
      <c r="W398" s="1812"/>
      <c r="X398" s="1812"/>
      <c r="Y398" s="1812"/>
      <c r="Z398" s="1812"/>
      <c r="AA398" s="1812"/>
      <c r="AB398" s="1812"/>
      <c r="AC398" s="1812"/>
      <c r="AD398" s="1812"/>
      <c r="AE398" s="1812"/>
      <c r="AF398" s="1812"/>
      <c r="AG398" s="1812"/>
      <c r="AH398" s="1812"/>
      <c r="AI398" s="1812"/>
      <c r="AJ398" s="1812"/>
    </row>
    <row r="399" spans="4:36" ht="12.9" customHeight="1">
      <c r="D399" s="3" t="s">
        <v>1779</v>
      </c>
      <c r="T399" s="1812"/>
      <c r="U399" s="1812"/>
      <c r="V399" s="1812"/>
      <c r="W399" s="1812"/>
      <c r="X399" s="1812"/>
      <c r="Y399" s="1812"/>
      <c r="Z399" s="1812"/>
      <c r="AA399" s="1812"/>
      <c r="AB399" s="1812"/>
      <c r="AC399" s="1812"/>
      <c r="AD399" s="1812"/>
      <c r="AE399" s="1812"/>
      <c r="AF399" s="1812"/>
      <c r="AG399" s="1812"/>
      <c r="AH399" s="1812"/>
      <c r="AI399" s="1812"/>
      <c r="AJ399" s="1812"/>
    </row>
    <row r="400" spans="4:36" ht="12.9" customHeight="1">
      <c r="AG400" s="490"/>
      <c r="AH400" s="490"/>
      <c r="AI400" s="490"/>
      <c r="AJ400" s="490"/>
    </row>
    <row r="401" spans="1:36" ht="12.9" customHeight="1">
      <c r="D401" s="3" t="s">
        <v>1773</v>
      </c>
      <c r="S401" s="1812" t="s">
        <v>678</v>
      </c>
      <c r="T401" s="1812"/>
      <c r="U401" s="1812"/>
      <c r="V401" t="s">
        <v>1774</v>
      </c>
      <c r="AG401" s="1838"/>
      <c r="AH401" s="1838"/>
      <c r="AI401" s="1838"/>
      <c r="AJ401" s="1838"/>
    </row>
    <row r="402" spans="1:36" ht="12.9" customHeight="1">
      <c r="D402" s="3" t="s">
        <v>1771</v>
      </c>
      <c r="S402" s="1812" t="s">
        <v>600</v>
      </c>
      <c r="T402" s="1812"/>
      <c r="U402" s="1812"/>
      <c r="V402" t="s">
        <v>1776</v>
      </c>
      <c r="AE402" s="1843"/>
      <c r="AF402" s="1843"/>
      <c r="AG402" s="1843"/>
      <c r="AH402" s="1843"/>
      <c r="AI402" s="1843"/>
      <c r="AJ402" s="1843"/>
    </row>
    <row r="403" spans="1:36" ht="12.9" customHeight="1">
      <c r="D403" s="3" t="s">
        <v>1772</v>
      </c>
      <c r="K403" s="1805"/>
      <c r="L403" s="1805"/>
      <c r="M403" s="1805"/>
      <c r="N403" s="1805"/>
      <c r="O403" s="1805"/>
      <c r="P403" s="1805"/>
      <c r="Q403" s="1805"/>
      <c r="R403" s="1805"/>
      <c r="S403" s="1805"/>
      <c r="T403" s="1805"/>
      <c r="U403" s="1805"/>
      <c r="V403" s="1805"/>
      <c r="W403" s="1805"/>
      <c r="X403" s="1805"/>
      <c r="Y403" s="1805"/>
      <c r="Z403" s="1805"/>
      <c r="AA403" s="1805"/>
      <c r="AB403" s="1805"/>
      <c r="AC403" s="1805"/>
      <c r="AD403" s="1805"/>
      <c r="AE403" s="1805"/>
      <c r="AF403" s="1805"/>
      <c r="AG403" s="1805"/>
      <c r="AH403" s="1805"/>
      <c r="AI403" s="1805"/>
      <c r="AJ403" s="1805"/>
    </row>
    <row r="404" spans="1:36" ht="12.9" customHeight="1">
      <c r="D404" s="3" t="s">
        <v>1775</v>
      </c>
      <c r="K404" s="1805"/>
      <c r="L404" s="1805"/>
      <c r="M404" s="1805"/>
      <c r="N404" s="1805"/>
      <c r="O404" s="1805"/>
      <c r="P404" s="1805"/>
      <c r="Q404" s="1805"/>
      <c r="R404" s="1805"/>
      <c r="S404" s="1805"/>
      <c r="T404" s="1805"/>
      <c r="U404" s="1805"/>
      <c r="V404" s="1805"/>
      <c r="W404" s="1805"/>
      <c r="X404" s="1805"/>
      <c r="Y404" s="1805"/>
      <c r="Z404" s="1805"/>
      <c r="AA404" s="1805"/>
      <c r="AB404" s="1805"/>
      <c r="AC404" s="1805"/>
      <c r="AD404" s="1805"/>
      <c r="AE404" s="1805"/>
      <c r="AF404" s="1805"/>
      <c r="AG404" s="1805"/>
      <c r="AH404" s="1805"/>
      <c r="AI404" s="1805"/>
      <c r="AJ404" s="1805"/>
    </row>
    <row r="405" spans="1:36" ht="12.9" customHeight="1">
      <c r="D405" s="3" t="s">
        <v>1778</v>
      </c>
      <c r="E405" s="511"/>
      <c r="F405" s="511"/>
      <c r="G405" s="511"/>
      <c r="H405" s="511"/>
      <c r="I405" s="511"/>
      <c r="J405" s="511"/>
      <c r="K405" s="511"/>
      <c r="L405" s="511"/>
      <c r="M405" s="511"/>
      <c r="N405" s="511"/>
      <c r="O405" s="511"/>
      <c r="P405" s="511"/>
      <c r="Q405" s="511"/>
      <c r="R405" s="511"/>
      <c r="S405" s="1822" t="s">
        <v>1291</v>
      </c>
      <c r="T405" s="1822"/>
      <c r="U405" s="1822"/>
      <c r="V405" s="1822"/>
      <c r="W405" s="1822"/>
      <c r="X405" s="1822"/>
      <c r="Y405" s="1822"/>
      <c r="Z405" s="1822"/>
      <c r="AA405" s="1822"/>
      <c r="AB405" s="1822"/>
      <c r="AC405" s="1822"/>
      <c r="AD405" s="1822"/>
      <c r="AE405" s="1822"/>
      <c r="AF405" s="1822"/>
      <c r="AG405" s="1822"/>
      <c r="AH405" s="1822"/>
      <c r="AI405" s="1822"/>
      <c r="AJ405" s="1822"/>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397" t="s">
        <v>2739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 customHeight="1">
      <c r="E411" t="s">
        <v>106</v>
      </c>
      <c r="R411" s="1379" t="s">
        <v>554</v>
      </c>
      <c r="S411" s="1379"/>
      <c r="AC411" s="27" t="s">
        <v>579</v>
      </c>
      <c r="AD411" s="1646">
        <v>5</v>
      </c>
      <c r="AE411" s="1646"/>
    </row>
    <row r="412" spans="1:36" ht="12.9" customHeight="1">
      <c r="E412" t="s">
        <v>107</v>
      </c>
      <c r="R412" s="1379" t="s">
        <v>600</v>
      </c>
      <c r="S412" s="1379"/>
      <c r="AC412" s="27" t="s">
        <v>579</v>
      </c>
      <c r="AD412" s="1646"/>
      <c r="AE412" s="1646"/>
    </row>
    <row r="413" spans="1:36" ht="12.9" customHeight="1">
      <c r="E413" t="s">
        <v>108</v>
      </c>
      <c r="S413" s="1379" t="s">
        <v>600</v>
      </c>
      <c r="T413" s="1379"/>
    </row>
    <row r="414" spans="1:36" ht="12.9" customHeight="1">
      <c r="E414" t="s">
        <v>170</v>
      </c>
      <c r="H414" s="1847" t="s">
        <v>335</v>
      </c>
      <c r="I414" s="1847"/>
      <c r="J414" s="1847"/>
      <c r="K414" s="1847"/>
      <c r="L414" s="1847"/>
      <c r="M414" s="1847"/>
      <c r="N414" s="1847"/>
      <c r="O414" s="1847"/>
      <c r="P414" s="1847"/>
      <c r="Q414" s="1847"/>
      <c r="R414" s="1847"/>
      <c r="S414" s="1847"/>
      <c r="T414" s="1847"/>
      <c r="U414" s="1847"/>
      <c r="V414" s="1847"/>
      <c r="W414" s="1847"/>
      <c r="X414" s="1847"/>
      <c r="Y414" s="1847"/>
      <c r="Z414" s="1847"/>
      <c r="AA414" s="1847"/>
      <c r="AB414" s="1847"/>
      <c r="AC414" s="1847"/>
      <c r="AD414" s="1847"/>
      <c r="AE414" s="1847"/>
    </row>
    <row r="415" spans="1:36" ht="12.9" customHeight="1">
      <c r="H415" s="1848"/>
      <c r="I415" s="1848"/>
      <c r="J415" s="1848"/>
      <c r="K415" s="1848"/>
      <c r="L415" s="1848"/>
      <c r="M415" s="1848"/>
      <c r="N415" s="1848"/>
      <c r="O415" s="1848"/>
      <c r="P415" s="1848"/>
      <c r="Q415" s="1848"/>
      <c r="R415" s="1848"/>
      <c r="S415" s="1848"/>
      <c r="T415" s="1848"/>
      <c r="U415" s="1848"/>
      <c r="V415" s="1848"/>
      <c r="W415" s="1848"/>
      <c r="X415" s="1848"/>
      <c r="Y415" s="1848"/>
      <c r="Z415" s="1848"/>
      <c r="AA415" s="1848"/>
      <c r="AB415" s="1848"/>
      <c r="AC415" s="1848"/>
      <c r="AD415" s="1848"/>
      <c r="AE415" s="1848"/>
    </row>
    <row r="416" spans="1:36" ht="12.9" customHeight="1"/>
    <row r="417" spans="1:39" ht="12.9" customHeight="1">
      <c r="A417" s="2" t="s">
        <v>599</v>
      </c>
      <c r="B417" s="2"/>
      <c r="C417" s="2"/>
      <c r="D417" s="2" t="s">
        <v>114</v>
      </c>
      <c r="AF417" s="2" t="s">
        <v>977</v>
      </c>
    </row>
    <row r="418" spans="1:39" ht="12.9" customHeight="1">
      <c r="E418" s="1689">
        <v>210</v>
      </c>
      <c r="F418" s="1689"/>
      <c r="G418" s="1689"/>
      <c r="H418" s="13" t="s">
        <v>115</v>
      </c>
      <c r="I418" s="1689">
        <v>210</v>
      </c>
      <c r="J418" s="1689"/>
      <c r="K418" s="1689"/>
      <c r="L418" t="s">
        <v>116</v>
      </c>
      <c r="N418" s="27" t="s">
        <v>584</v>
      </c>
      <c r="P418" s="1691">
        <v>1.05</v>
      </c>
      <c r="Q418" s="1691"/>
      <c r="R418" s="1691"/>
      <c r="S418" t="s">
        <v>117</v>
      </c>
      <c r="W418" s="1867">
        <f>IF(E418&gt;0,(E418*I418),(P418*43560))</f>
        <v>44100</v>
      </c>
      <c r="X418" s="1867"/>
      <c r="Y418" s="1867"/>
      <c r="Z418" t="s">
        <v>118</v>
      </c>
      <c r="AF418" s="1710">
        <f>IFERROR(IF(P418&gt;0,(AG437/P418),(AG437/(W418/43560))),0)</f>
        <v>76.19047619047619</v>
      </c>
      <c r="AG418" s="1710"/>
      <c r="AH418" s="1710"/>
      <c r="AM418" s="3"/>
    </row>
    <row r="419" spans="1:39" ht="12.9" customHeight="1">
      <c r="E419" t="s">
        <v>51</v>
      </c>
    </row>
    <row r="420" spans="1:39" ht="12.9" customHeight="1">
      <c r="E420" s="1842"/>
      <c r="F420" s="1842"/>
      <c r="G420" s="1842"/>
      <c r="H420" s="1842"/>
      <c r="I420" s="1842"/>
      <c r="J420" s="1842"/>
      <c r="K420" s="1842"/>
      <c r="L420" s="1842"/>
      <c r="M420" s="1842"/>
      <c r="N420" s="1842"/>
      <c r="O420" s="1842"/>
      <c r="P420" s="1842"/>
      <c r="Q420" s="1842"/>
      <c r="R420" s="1842"/>
      <c r="S420" s="1842"/>
      <c r="T420" s="1842"/>
      <c r="U420" s="1842"/>
      <c r="V420" s="1842"/>
      <c r="W420" s="1842"/>
      <c r="X420" s="1842"/>
      <c r="Y420" s="1842"/>
      <c r="Z420" s="1842"/>
      <c r="AA420" s="1842"/>
      <c r="AB420" s="1842"/>
      <c r="AC420" s="1842"/>
      <c r="AD420" s="1842"/>
      <c r="AE420" s="1842"/>
      <c r="AF420" s="1842"/>
      <c r="AG420" s="1842"/>
      <c r="AH420" s="1842"/>
      <c r="AI420" s="1842"/>
      <c r="AJ420" s="1842"/>
    </row>
    <row r="421" spans="1:39" ht="12.9" customHeight="1">
      <c r="E421" s="118" t="s">
        <v>1925</v>
      </c>
      <c r="F421" s="1048"/>
      <c r="G421" s="1048"/>
      <c r="H421" s="1048"/>
      <c r="I421" s="1776">
        <v>1.05</v>
      </c>
      <c r="J421" s="1776"/>
      <c r="K421" s="1776"/>
      <c r="L421" s="1048"/>
      <c r="M421" s="118"/>
      <c r="N421" s="1048"/>
      <c r="O421" s="1048"/>
      <c r="P421" s="1474">
        <f>(CS634+CS642+CS658)/I421</f>
        <v>77.142857142857139</v>
      </c>
      <c r="Q421" s="1474"/>
      <c r="R421" s="1474"/>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379">
        <v>2</v>
      </c>
      <c r="Q424" s="1379"/>
      <c r="S424" t="s">
        <v>190</v>
      </c>
      <c r="AE424" s="1379">
        <v>2</v>
      </c>
      <c r="AF424" s="1379"/>
    </row>
    <row r="425" spans="1:39" ht="12.9" customHeight="1">
      <c r="E425" t="s">
        <v>191</v>
      </c>
      <c r="P425" s="1379">
        <v>0</v>
      </c>
      <c r="Q425" s="1379"/>
      <c r="S425" t="s">
        <v>131</v>
      </c>
      <c r="AE425" s="1379" t="s">
        <v>600</v>
      </c>
      <c r="AF425" s="1379"/>
    </row>
    <row r="426" spans="1:39" ht="12.9" customHeight="1">
      <c r="F426" s="28" t="s">
        <v>132</v>
      </c>
    </row>
    <row r="427" spans="1:39" ht="12.9" customHeight="1">
      <c r="F427" s="1787"/>
      <c r="G427" s="1787"/>
      <c r="H427" s="1787"/>
      <c r="I427" s="1787"/>
      <c r="J427" s="1787"/>
      <c r="K427" s="1787"/>
      <c r="L427" s="1787"/>
      <c r="M427" s="1787"/>
      <c r="N427" s="1787"/>
      <c r="O427" s="1787"/>
      <c r="P427" s="1787"/>
      <c r="Q427" s="1787"/>
      <c r="R427" s="1787"/>
      <c r="S427" s="1787"/>
      <c r="T427" s="1787"/>
      <c r="U427" s="1787"/>
      <c r="V427" s="1787"/>
      <c r="W427" s="1787"/>
      <c r="X427" s="1787"/>
      <c r="Y427" s="1787"/>
      <c r="Z427" s="1787"/>
      <c r="AA427" s="1787"/>
      <c r="AB427" s="1787"/>
      <c r="AC427" s="1787"/>
      <c r="AD427" s="1787"/>
      <c r="AE427" s="1787"/>
      <c r="AF427" s="1787"/>
      <c r="AG427" s="1787"/>
      <c r="AH427" s="1787"/>
    </row>
    <row r="428" spans="1:39" ht="12.9" customHeight="1">
      <c r="F428" s="1788"/>
      <c r="G428" s="1788"/>
      <c r="H428" s="1788"/>
      <c r="I428" s="1788"/>
      <c r="J428" s="1788"/>
      <c r="K428" s="1788"/>
      <c r="L428" s="1788"/>
      <c r="M428" s="1788"/>
      <c r="N428" s="1788"/>
      <c r="O428" s="1788"/>
      <c r="P428" s="1788"/>
      <c r="Q428" s="1788"/>
      <c r="R428" s="1788"/>
      <c r="S428" s="1788"/>
      <c r="T428" s="1788"/>
      <c r="U428" s="1788"/>
      <c r="V428" s="1788"/>
      <c r="W428" s="1788"/>
      <c r="X428" s="1788"/>
      <c r="Y428" s="1788"/>
      <c r="Z428" s="1788"/>
      <c r="AA428" s="1788"/>
      <c r="AB428" s="1788"/>
      <c r="AC428" s="1788"/>
      <c r="AD428" s="1788"/>
      <c r="AE428" s="1788"/>
      <c r="AF428" s="1788"/>
      <c r="AG428" s="1788"/>
      <c r="AH428" s="1788"/>
    </row>
    <row r="429" spans="1:39" ht="12.9" customHeight="1">
      <c r="E429" t="s">
        <v>617</v>
      </c>
      <c r="P429" s="1"/>
      <c r="Q429" s="1379" t="s">
        <v>554</v>
      </c>
      <c r="R429" s="1379"/>
    </row>
    <row r="430" spans="1:39" ht="12.9" customHeight="1">
      <c r="F430" t="s">
        <v>618</v>
      </c>
      <c r="P430" s="1"/>
      <c r="Q430" s="1"/>
      <c r="AF430" s="1379" t="s">
        <v>600</v>
      </c>
      <c r="AG430" s="1844"/>
    </row>
    <row r="431" spans="1:39" ht="12.9" customHeight="1"/>
    <row r="432" spans="1:39" ht="12.9" customHeight="1">
      <c r="A432" s="2"/>
      <c r="B432" s="2"/>
      <c r="C432" s="2"/>
      <c r="E432" s="4" t="s">
        <v>309</v>
      </c>
      <c r="Z432" s="1379" t="s">
        <v>678</v>
      </c>
      <c r="AA432" s="1379"/>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 customHeight="1"/>
    <row r="436" spans="1:110" ht="12.9" customHeight="1">
      <c r="A436" s="2" t="s">
        <v>476</v>
      </c>
      <c r="B436" s="2"/>
      <c r="C436" s="2"/>
      <c r="D436" s="2" t="s">
        <v>774</v>
      </c>
      <c r="AF436" s="48"/>
    </row>
    <row r="437" spans="1:110" ht="12.9" customHeight="1">
      <c r="D437" s="1653" t="s">
        <v>43</v>
      </c>
      <c r="E437" s="1649"/>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839"/>
      <c r="AG437" s="1845">
        <v>80</v>
      </c>
      <c r="AH437" s="1845"/>
      <c r="AI437" s="1845"/>
      <c r="AJ437" s="1845"/>
    </row>
    <row r="438" spans="1:110" ht="12.9" customHeight="1">
      <c r="D438" s="1698" t="s">
        <v>1330</v>
      </c>
      <c r="E438" s="1699"/>
      <c r="F438" s="1699"/>
      <c r="G438" s="1699"/>
      <c r="H438" s="1699"/>
      <c r="I438" s="1699"/>
      <c r="J438" s="1699"/>
      <c r="K438" s="1699"/>
      <c r="L438" s="1699"/>
      <c r="M438" s="1699"/>
      <c r="N438" s="1699"/>
      <c r="O438" s="1699"/>
      <c r="P438" s="1699"/>
      <c r="Q438" s="1699"/>
      <c r="R438" s="1699"/>
      <c r="S438" s="1699"/>
      <c r="T438" s="1699"/>
      <c r="U438" s="1699"/>
      <c r="V438" s="1699"/>
      <c r="W438" s="1699"/>
      <c r="X438" s="1699"/>
      <c r="Y438" s="1699"/>
      <c r="Z438" s="1699"/>
      <c r="AA438" s="1699"/>
      <c r="AB438" s="1699"/>
      <c r="AC438" s="1699"/>
      <c r="AD438" s="1699"/>
      <c r="AE438" s="1699"/>
      <c r="AF438" s="1700"/>
      <c r="AG438" s="1841">
        <v>0</v>
      </c>
      <c r="AH438" s="1365"/>
      <c r="AI438" s="1365"/>
      <c r="AJ438" s="1365"/>
    </row>
    <row r="439" spans="1:110" ht="12.9" customHeight="1">
      <c r="D439" s="1698" t="s">
        <v>1056</v>
      </c>
      <c r="E439" s="1699"/>
      <c r="F439" s="1699"/>
      <c r="G439" s="1699"/>
      <c r="H439" s="1699"/>
      <c r="I439" s="1699"/>
      <c r="J439" s="1699"/>
      <c r="K439" s="1699"/>
      <c r="L439" s="1699"/>
      <c r="M439" s="1699"/>
      <c r="N439" s="1699"/>
      <c r="O439" s="1699"/>
      <c r="P439" s="1699"/>
      <c r="Q439" s="1699"/>
      <c r="R439" s="1699"/>
      <c r="S439" s="1699"/>
      <c r="T439" s="1699"/>
      <c r="U439" s="1699"/>
      <c r="V439" s="1699"/>
      <c r="W439" s="1699"/>
      <c r="X439" s="1699"/>
      <c r="Y439" s="1699"/>
      <c r="Z439" s="1699"/>
      <c r="AA439" s="1699"/>
      <c r="AB439" s="1699"/>
      <c r="AC439" s="1699"/>
      <c r="AD439" s="1699"/>
      <c r="AE439" s="1699"/>
      <c r="AF439" s="1700"/>
      <c r="AG439" s="1845">
        <v>79</v>
      </c>
      <c r="AH439" s="1845"/>
      <c r="AI439" s="1845"/>
      <c r="AJ439" s="1845"/>
    </row>
    <row r="440" spans="1:110" ht="12.9" customHeight="1">
      <c r="D440" s="1698" t="s">
        <v>1057</v>
      </c>
      <c r="E440" s="1699"/>
      <c r="F440" s="1699"/>
      <c r="G440" s="1699"/>
      <c r="H440" s="1699"/>
      <c r="I440" s="1699"/>
      <c r="J440" s="1699"/>
      <c r="K440" s="1699"/>
      <c r="L440" s="1699"/>
      <c r="M440" s="1699"/>
      <c r="N440" s="1699"/>
      <c r="O440" s="1699"/>
      <c r="P440" s="1699"/>
      <c r="Q440" s="1699"/>
      <c r="R440" s="1699"/>
      <c r="S440" s="1699"/>
      <c r="T440" s="1699"/>
      <c r="U440" s="1699"/>
      <c r="V440" s="1699"/>
      <c r="W440" s="1699"/>
      <c r="X440" s="1699"/>
      <c r="Y440" s="1699"/>
      <c r="Z440" s="1699"/>
      <c r="AA440" s="1699"/>
      <c r="AB440" s="1699"/>
      <c r="AC440" s="1699"/>
      <c r="AD440" s="1699"/>
      <c r="AE440" s="1699"/>
      <c r="AF440" s="1700"/>
      <c r="AG440" s="1845">
        <v>79</v>
      </c>
      <c r="AH440" s="1845"/>
      <c r="AI440" s="1845"/>
      <c r="AJ440" s="1845"/>
    </row>
    <row r="441" spans="1:110" ht="12.9" customHeight="1">
      <c r="D441" s="1698" t="s">
        <v>1059</v>
      </c>
      <c r="E441" s="1699"/>
      <c r="F441" s="1699"/>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1700"/>
      <c r="AG441" s="1840">
        <f>IF(ISERROR(AG440/AG439),"",AG440/AG439)</f>
        <v>1</v>
      </c>
      <c r="AH441" s="1840"/>
      <c r="AI441" s="1840"/>
      <c r="AJ441" s="1840"/>
    </row>
    <row r="442" spans="1:110" ht="12.9" customHeight="1">
      <c r="D442" s="1698" t="s">
        <v>1058</v>
      </c>
      <c r="E442" s="1699"/>
      <c r="F442" s="1699"/>
      <c r="G442" s="1699"/>
      <c r="H442" s="1699"/>
      <c r="I442" s="1699"/>
      <c r="J442" s="1699"/>
      <c r="K442" s="1699"/>
      <c r="L442" s="1699"/>
      <c r="M442" s="1699"/>
      <c r="N442" s="1699"/>
      <c r="O442" s="1699"/>
      <c r="P442" s="1699"/>
      <c r="Q442" s="1699"/>
      <c r="R442" s="1699"/>
      <c r="S442" s="1699"/>
      <c r="T442" s="1699"/>
      <c r="U442" s="1699"/>
      <c r="V442" s="1699"/>
      <c r="W442" s="1699"/>
      <c r="X442" s="1699"/>
      <c r="Y442" s="1699"/>
      <c r="Z442" s="1699"/>
      <c r="AA442" s="1699"/>
      <c r="AB442" s="1699"/>
      <c r="AC442" s="1699"/>
      <c r="AD442" s="1699"/>
      <c r="AE442" s="1699"/>
      <c r="AF442" s="1700"/>
      <c r="AG442" s="1721">
        <v>45126</v>
      </c>
      <c r="AH442" s="1721"/>
      <c r="AI442" s="1721"/>
      <c r="AJ442" s="1721"/>
    </row>
    <row r="443" spans="1:110" ht="12.9" customHeight="1">
      <c r="D443" s="1698" t="s">
        <v>1060</v>
      </c>
      <c r="E443" s="1699"/>
      <c r="F443" s="1699"/>
      <c r="G443" s="1699"/>
      <c r="H443" s="1699"/>
      <c r="I443" s="1699"/>
      <c r="J443" s="1699"/>
      <c r="K443" s="1699"/>
      <c r="L443" s="1699"/>
      <c r="M443" s="1699"/>
      <c r="N443" s="1699"/>
      <c r="O443" s="1699"/>
      <c r="P443" s="1699"/>
      <c r="Q443" s="1699"/>
      <c r="R443" s="1699"/>
      <c r="S443" s="1699"/>
      <c r="T443" s="1699"/>
      <c r="U443" s="1699"/>
      <c r="V443" s="1699"/>
      <c r="W443" s="1699"/>
      <c r="X443" s="1699"/>
      <c r="Y443" s="1699"/>
      <c r="Z443" s="1699"/>
      <c r="AA443" s="1699"/>
      <c r="AB443" s="1699"/>
      <c r="AC443" s="1699"/>
      <c r="AD443" s="1699"/>
      <c r="AE443" s="1699"/>
      <c r="AF443" s="1700"/>
      <c r="AG443" s="1721">
        <v>45126</v>
      </c>
      <c r="AH443" s="1721"/>
      <c r="AI443" s="1721"/>
      <c r="AJ443" s="1721"/>
    </row>
    <row r="444" spans="1:110" ht="12.9" customHeight="1">
      <c r="D444" s="1698" t="s">
        <v>1061</v>
      </c>
      <c r="E444" s="1699"/>
      <c r="F444" s="1699"/>
      <c r="G444" s="1699"/>
      <c r="H444" s="1699"/>
      <c r="I444" s="1699"/>
      <c r="J444" s="1699"/>
      <c r="K444" s="1699"/>
      <c r="L444" s="1699"/>
      <c r="M444" s="1699"/>
      <c r="N444" s="1699"/>
      <c r="O444" s="1699"/>
      <c r="P444" s="1699"/>
      <c r="Q444" s="1699"/>
      <c r="R444" s="1699"/>
      <c r="S444" s="1699"/>
      <c r="T444" s="1699"/>
      <c r="U444" s="1699"/>
      <c r="V444" s="1699"/>
      <c r="W444" s="1699"/>
      <c r="X444" s="1699"/>
      <c r="Y444" s="1699"/>
      <c r="Z444" s="1699"/>
      <c r="AA444" s="1699"/>
      <c r="AB444" s="1699"/>
      <c r="AC444" s="1699"/>
      <c r="AD444" s="1699"/>
      <c r="AE444" s="1699"/>
      <c r="AF444" s="1700"/>
      <c r="AG444" s="1840">
        <f>IF(ISERROR(AG443/AG442),"",AG443/AG442)</f>
        <v>1</v>
      </c>
      <c r="AH444" s="1840"/>
      <c r="AI444" s="1840"/>
      <c r="AJ444" s="1840"/>
    </row>
    <row r="445" spans="1:110" ht="12.9" customHeight="1">
      <c r="D445" s="1698" t="s">
        <v>1062</v>
      </c>
      <c r="E445" s="1699"/>
      <c r="F445" s="1699"/>
      <c r="G445" s="1699"/>
      <c r="H445" s="1699"/>
      <c r="I445" s="1699"/>
      <c r="J445" s="1699"/>
      <c r="K445" s="1699"/>
      <c r="L445" s="1699"/>
      <c r="M445" s="1699"/>
      <c r="N445" s="1699"/>
      <c r="O445" s="1699"/>
      <c r="P445" s="1699"/>
      <c r="Q445" s="1699"/>
      <c r="R445" s="1699"/>
      <c r="S445" s="1699"/>
      <c r="T445" s="1699"/>
      <c r="U445" s="1699"/>
      <c r="V445" s="1699"/>
      <c r="W445" s="1699"/>
      <c r="X445" s="1699"/>
      <c r="Y445" s="1699"/>
      <c r="Z445" s="1699"/>
      <c r="AA445" s="1699"/>
      <c r="AB445" s="1699"/>
      <c r="AC445" s="1699"/>
      <c r="AD445" s="1699"/>
      <c r="AE445" s="1699"/>
      <c r="AF445" s="1700"/>
      <c r="AG445" s="1840">
        <f>MIN(IF(AG441&gt;AG444,AG444,AG441),1)</f>
        <v>1</v>
      </c>
      <c r="AH445" s="1840"/>
      <c r="AI445" s="1840"/>
      <c r="AJ445" s="1840"/>
    </row>
    <row r="446" spans="1:110" ht="12.9" customHeight="1">
      <c r="D446" s="1698" t="s">
        <v>2403</v>
      </c>
      <c r="E446" s="1649"/>
      <c r="F446" s="1649"/>
      <c r="G446" s="1649"/>
      <c r="H446" s="1649"/>
      <c r="I446" s="1649"/>
      <c r="J446" s="1649"/>
      <c r="K446" s="1649"/>
      <c r="L446" s="1649"/>
      <c r="M446" s="1649"/>
      <c r="N446" s="1649"/>
      <c r="O446" s="1649"/>
      <c r="P446" s="1649"/>
      <c r="Q446" s="1649"/>
      <c r="R446" s="1649"/>
      <c r="S446" s="1649"/>
      <c r="T446" s="1649"/>
      <c r="U446" s="1649"/>
      <c r="V446" s="1649"/>
      <c r="W446" s="1649"/>
      <c r="X446" s="1649"/>
      <c r="Y446" s="1649"/>
      <c r="Z446" s="1649"/>
      <c r="AA446" s="1649"/>
      <c r="AB446" s="1649"/>
      <c r="AC446" s="1649"/>
      <c r="AD446" s="1649"/>
      <c r="AE446" s="1649"/>
      <c r="AF446" s="1839"/>
      <c r="AG446" s="1721">
        <v>1185</v>
      </c>
      <c r="AH446" s="1721"/>
      <c r="AI446" s="1721"/>
      <c r="AJ446" s="172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653" t="s">
        <v>578</v>
      </c>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c r="Y447" s="1649"/>
      <c r="Z447" s="1649"/>
      <c r="AA447" s="1649"/>
      <c r="AB447" s="1649"/>
      <c r="AC447" s="1649"/>
      <c r="AD447" s="1649"/>
      <c r="AE447" s="1649"/>
      <c r="AF447" s="1839"/>
      <c r="AG447" s="1721">
        <v>0</v>
      </c>
      <c r="AH447" s="1721"/>
      <c r="AI447" s="1721"/>
      <c r="AJ447" s="172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698" t="s">
        <v>1312</v>
      </c>
      <c r="E448" s="1649"/>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39"/>
      <c r="AG448" s="1721">
        <v>5596</v>
      </c>
      <c r="AH448" s="1721"/>
      <c r="AI448" s="1721"/>
      <c r="AJ448" s="172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698" t="s">
        <v>1063</v>
      </c>
      <c r="E449" s="1649"/>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39"/>
      <c r="AG449" s="1721">
        <v>9495</v>
      </c>
      <c r="AH449" s="1721"/>
      <c r="AI449" s="1721"/>
      <c r="AJ449" s="172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813" t="s">
        <v>1064</v>
      </c>
      <c r="E450" s="1814"/>
      <c r="F450" s="1814"/>
      <c r="G450" s="1814"/>
      <c r="H450" s="1814"/>
      <c r="I450" s="1814"/>
      <c r="J450" s="1814"/>
      <c r="K450" s="1814"/>
      <c r="L450" s="1814"/>
      <c r="M450" s="1814"/>
      <c r="N450" s="1814"/>
      <c r="O450" s="1814"/>
      <c r="P450" s="1814"/>
      <c r="Q450" s="1814"/>
      <c r="R450" s="1814"/>
      <c r="S450" s="1814"/>
      <c r="T450" s="1814"/>
      <c r="U450" s="1814"/>
      <c r="V450" s="1814"/>
      <c r="W450" s="1814"/>
      <c r="X450" s="1814"/>
      <c r="Y450" s="1814"/>
      <c r="Z450" s="1814"/>
      <c r="AA450" s="1814"/>
      <c r="AB450" s="1814"/>
      <c r="AC450" s="1814"/>
      <c r="AD450" s="1814"/>
      <c r="AE450" s="1814"/>
      <c r="AF450" s="1815"/>
      <c r="AG450" s="1846">
        <f>AG442+AG446+AG448+AG449</f>
        <v>61402</v>
      </c>
      <c r="AH450" s="1846"/>
      <c r="AI450" s="1846"/>
      <c r="AJ450" s="184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816" t="s">
        <v>1313</v>
      </c>
      <c r="E451" s="1816"/>
      <c r="F451" s="1816"/>
      <c r="G451" s="1816"/>
      <c r="H451" s="1816"/>
      <c r="I451" s="1816"/>
      <c r="J451" s="1816"/>
      <c r="K451" s="1816"/>
      <c r="L451" s="1816"/>
      <c r="M451" s="1816"/>
      <c r="N451" s="1816"/>
      <c r="O451" s="1816"/>
      <c r="P451" s="1816"/>
      <c r="Q451" s="1816"/>
      <c r="R451" s="1816"/>
      <c r="S451" s="1816"/>
      <c r="T451" s="1816"/>
      <c r="U451" s="1816"/>
      <c r="V451" s="1816"/>
      <c r="W451" s="1816"/>
      <c r="X451" s="1816"/>
      <c r="Y451" s="1816"/>
      <c r="Z451" s="1816"/>
      <c r="AA451" s="1816"/>
      <c r="AB451" s="1816"/>
      <c r="AC451" s="1816"/>
      <c r="AD451" s="1816"/>
      <c r="AE451" s="1816"/>
      <c r="AF451" s="1816"/>
      <c r="AG451" s="1816"/>
      <c r="AH451" s="1816"/>
      <c r="AI451" s="1816"/>
      <c r="AJ451" s="181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817"/>
      <c r="E452" s="1817"/>
      <c r="F452" s="1817"/>
      <c r="G452" s="1817"/>
      <c r="H452" s="1817"/>
      <c r="I452" s="1817"/>
      <c r="J452" s="1817"/>
      <c r="K452" s="1817"/>
      <c r="L452" s="1817"/>
      <c r="M452" s="1817"/>
      <c r="N452" s="1817"/>
      <c r="O452" s="1817"/>
      <c r="P452" s="1817"/>
      <c r="Q452" s="1817"/>
      <c r="R452" s="1817"/>
      <c r="S452" s="1817"/>
      <c r="T452" s="1817"/>
      <c r="U452" s="1817"/>
      <c r="V452" s="1817"/>
      <c r="W452" s="1817"/>
      <c r="X452" s="1817"/>
      <c r="Y452" s="1817"/>
      <c r="Z452" s="1817"/>
      <c r="AA452" s="1817"/>
      <c r="AB452" s="1817"/>
      <c r="AC452" s="1817"/>
      <c r="AD452" s="1817"/>
      <c r="AE452" s="1817"/>
      <c r="AF452" s="1817"/>
      <c r="AG452" s="1817"/>
      <c r="AH452" s="1817"/>
      <c r="AI452" s="1817"/>
      <c r="AJ452" s="181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No</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9">
        <f>IF(AG437=0,"",'Sources and Uses Budget'!B105/Application!AG437)</f>
        <v>939682.27613626572</v>
      </c>
      <c r="AD454" s="1859"/>
      <c r="AE454" s="1859"/>
      <c r="AF454" s="1859"/>
      <c r="AG454" s="186"/>
      <c r="AH454" s="186"/>
      <c r="AI454" s="186"/>
      <c r="AJ454" s="192"/>
      <c r="AZ454" s="3"/>
      <c r="BA454" s="3" t="str">
        <f>AG575</f>
        <v>No</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9">
        <f>IF(AG437=0,"",'Sources and Uses Budget'!C105/Application!AG437)</f>
        <v>918124.09270351776</v>
      </c>
      <c r="AD455" s="1859"/>
      <c r="AE455" s="1859"/>
      <c r="AF455" s="1859"/>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9">
        <f>IF(AG437=0,"",('Sources and Uses Budget'!$S$107+'Sources and Uses Budget'!$T$107)/Application!AG437)</f>
        <v>794879.28739220276</v>
      </c>
      <c r="AD456" s="1859"/>
      <c r="AE456" s="1859"/>
      <c r="AF456" s="1859"/>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No</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825" t="s">
        <v>2417</v>
      </c>
      <c r="E465" s="1774"/>
      <c r="F465" s="1774"/>
      <c r="G465" s="1774"/>
      <c r="H465" s="1774"/>
      <c r="I465" s="1774"/>
      <c r="J465" s="1774"/>
      <c r="K465" s="1774"/>
      <c r="L465" s="1774"/>
      <c r="M465" s="1774"/>
      <c r="N465" s="1774"/>
      <c r="O465" s="1774"/>
      <c r="P465" s="1774"/>
      <c r="Q465" s="1774"/>
      <c r="R465" s="1774"/>
      <c r="S465" s="1774"/>
      <c r="T465" s="1774"/>
      <c r="U465" s="1774"/>
      <c r="V465" s="1775"/>
      <c r="W465" s="1702">
        <v>25</v>
      </c>
      <c r="X465" s="1703"/>
      <c r="Y465" s="170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773" t="s">
        <v>703</v>
      </c>
      <c r="E466" s="1774"/>
      <c r="F466" s="1774"/>
      <c r="G466" s="1774"/>
      <c r="H466" s="1774"/>
      <c r="I466" s="1774"/>
      <c r="J466" s="1774"/>
      <c r="K466" s="1774"/>
      <c r="L466" s="1774"/>
      <c r="M466" s="1774"/>
      <c r="N466" s="1774"/>
      <c r="O466" s="1774"/>
      <c r="P466" s="1774"/>
      <c r="Q466" s="1774"/>
      <c r="R466" s="1774"/>
      <c r="S466" s="1774"/>
      <c r="T466" s="1774"/>
      <c r="U466" s="1774"/>
      <c r="V466" s="1775"/>
      <c r="W466" s="1702">
        <v>0</v>
      </c>
      <c r="X466" s="1703"/>
      <c r="Y466" s="170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773" t="s">
        <v>704</v>
      </c>
      <c r="E467" s="1774"/>
      <c r="F467" s="1774"/>
      <c r="G467" s="1774"/>
      <c r="H467" s="1774"/>
      <c r="I467" s="1774"/>
      <c r="J467" s="1774"/>
      <c r="K467" s="1774"/>
      <c r="L467" s="1774"/>
      <c r="M467" s="1774"/>
      <c r="N467" s="1774"/>
      <c r="O467" s="1774"/>
      <c r="P467" s="1774"/>
      <c r="Q467" s="1774"/>
      <c r="R467" s="1774"/>
      <c r="S467" s="1774"/>
      <c r="T467" s="1774"/>
      <c r="U467" s="1774"/>
      <c r="V467" s="1775"/>
      <c r="W467" s="1702">
        <v>0</v>
      </c>
      <c r="X467" s="1703"/>
      <c r="Y467" s="170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773" t="s">
        <v>705</v>
      </c>
      <c r="E468" s="1774"/>
      <c r="F468" s="1774"/>
      <c r="G468" s="1774"/>
      <c r="H468" s="1774"/>
      <c r="I468" s="1774"/>
      <c r="J468" s="1774"/>
      <c r="K468" s="1774"/>
      <c r="L468" s="1774"/>
      <c r="M468" s="1774"/>
      <c r="N468" s="1774"/>
      <c r="O468" s="1774"/>
      <c r="P468" s="1774"/>
      <c r="Q468" s="1774"/>
      <c r="R468" s="1774"/>
      <c r="S468" s="1774"/>
      <c r="T468" s="1774"/>
      <c r="U468" s="1774"/>
      <c r="V468" s="1775"/>
      <c r="W468" s="1702">
        <v>0</v>
      </c>
      <c r="X468" s="1703"/>
      <c r="Y468" s="170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773" t="s">
        <v>894</v>
      </c>
      <c r="E469" s="1774"/>
      <c r="F469" s="1774"/>
      <c r="G469" s="1774"/>
      <c r="H469" s="1774"/>
      <c r="I469" s="1774"/>
      <c r="J469" s="1774"/>
      <c r="K469" s="1774"/>
      <c r="L469" s="1774"/>
      <c r="M469" s="1774"/>
      <c r="N469" s="1774"/>
      <c r="O469" s="1774"/>
      <c r="P469" s="1774"/>
      <c r="Q469" s="1774"/>
      <c r="R469" s="1774"/>
      <c r="S469" s="1774"/>
      <c r="T469" s="1774"/>
      <c r="U469" s="1774"/>
      <c r="V469" s="1775"/>
      <c r="W469" s="1702">
        <v>0</v>
      </c>
      <c r="X469" s="1703"/>
      <c r="Y469" s="1704"/>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773" t="s">
        <v>706</v>
      </c>
      <c r="E470" s="1774"/>
      <c r="F470" s="1774"/>
      <c r="G470" s="1774"/>
      <c r="H470" s="1774"/>
      <c r="I470" s="1774"/>
      <c r="J470" s="1774"/>
      <c r="K470" s="1774"/>
      <c r="L470" s="1774"/>
      <c r="M470" s="1774"/>
      <c r="N470" s="1774"/>
      <c r="O470" s="1774"/>
      <c r="P470" s="1774"/>
      <c r="Q470" s="1774"/>
      <c r="R470" s="1774"/>
      <c r="S470" s="1774"/>
      <c r="T470" s="1774"/>
      <c r="U470" s="1774"/>
      <c r="V470" s="1775"/>
      <c r="W470" s="1702">
        <v>0</v>
      </c>
      <c r="X470" s="1703"/>
      <c r="Y470" s="170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773" t="s">
        <v>1037</v>
      </c>
      <c r="E471" s="1774"/>
      <c r="F471" s="1774"/>
      <c r="G471" s="1774"/>
      <c r="H471" s="1774"/>
      <c r="I471" s="1774"/>
      <c r="J471" s="1774"/>
      <c r="K471" s="1774"/>
      <c r="L471" s="1774"/>
      <c r="M471" s="1774"/>
      <c r="N471" s="1774"/>
      <c r="O471" s="1774"/>
      <c r="P471" s="1774"/>
      <c r="Q471" s="1774"/>
      <c r="R471" s="1774"/>
      <c r="S471" s="1774"/>
      <c r="T471" s="1774"/>
      <c r="U471" s="1774"/>
      <c r="V471" s="1775"/>
      <c r="W471" s="1702">
        <v>0</v>
      </c>
      <c r="X471" s="1703"/>
      <c r="Y471" s="170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825" t="s">
        <v>2552</v>
      </c>
      <c r="E472" s="1865"/>
      <c r="F472" s="1865"/>
      <c r="G472" s="1865"/>
      <c r="H472" s="1865"/>
      <c r="I472" s="1865"/>
      <c r="J472" s="1865"/>
      <c r="K472" s="1865"/>
      <c r="L472" s="1865"/>
      <c r="M472" s="1865"/>
      <c r="N472" s="1865"/>
      <c r="O472" s="1865"/>
      <c r="P472" s="1865"/>
      <c r="Q472" s="1865"/>
      <c r="R472" s="1865"/>
      <c r="S472" s="1865"/>
      <c r="T472" s="1865"/>
      <c r="U472" s="1865"/>
      <c r="V472" s="1866"/>
      <c r="W472" s="1702">
        <v>0</v>
      </c>
      <c r="X472" s="1703"/>
      <c r="Y472" s="170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825" t="s">
        <v>1766</v>
      </c>
      <c r="E473" s="1774"/>
      <c r="F473" s="1774"/>
      <c r="G473" s="1774"/>
      <c r="H473" s="1774"/>
      <c r="I473" s="1774"/>
      <c r="J473" s="1774"/>
      <c r="K473" s="1774"/>
      <c r="L473" s="1774"/>
      <c r="M473" s="1774"/>
      <c r="N473" s="1774"/>
      <c r="O473" s="1774"/>
      <c r="P473" s="1774"/>
      <c r="Q473" s="1774"/>
      <c r="R473" s="1774"/>
      <c r="S473" s="1774"/>
      <c r="T473" s="1774"/>
      <c r="U473" s="1774"/>
      <c r="V473" s="1775"/>
      <c r="W473" s="1702">
        <v>0</v>
      </c>
      <c r="X473" s="1703"/>
      <c r="Y473" s="170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819" t="s">
        <v>2740</v>
      </c>
      <c r="H474" s="1820"/>
      <c r="I474" s="1820"/>
      <c r="J474" s="1820"/>
      <c r="K474" s="1820"/>
      <c r="L474" s="1820"/>
      <c r="M474" s="1820"/>
      <c r="N474" s="1820"/>
      <c r="O474" s="1820"/>
      <c r="P474" s="1820"/>
      <c r="Q474" s="1820"/>
      <c r="R474" s="1820"/>
      <c r="S474" s="1820"/>
      <c r="T474" s="1820"/>
      <c r="U474" s="1820"/>
      <c r="V474" s="1821"/>
      <c r="W474" s="1702">
        <v>79</v>
      </c>
      <c r="X474" s="1703"/>
      <c r="Y474" s="170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715" t="s">
        <v>394</v>
      </c>
      <c r="R485" s="1716"/>
      <c r="S485" s="1716"/>
      <c r="T485" s="1716"/>
      <c r="U485" s="1716"/>
      <c r="V485" s="1716"/>
      <c r="W485" s="1716"/>
      <c r="X485" s="1716"/>
      <c r="Y485" s="1716"/>
      <c r="Z485" s="1716"/>
      <c r="AA485" s="1716"/>
      <c r="AB485" s="1716"/>
      <c r="AC485" s="1716"/>
      <c r="AD485" s="1716"/>
      <c r="AE485" s="1716"/>
      <c r="AF485" s="1716"/>
      <c r="AG485" s="1716"/>
      <c r="AH485" s="1716"/>
      <c r="AI485" s="1716"/>
      <c r="AJ485" s="1716"/>
      <c r="AK485" s="171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708" t="s">
        <v>2741</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70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708" t="s">
        <v>2743</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709"/>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708" t="s">
        <v>2742</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70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849" t="s">
        <v>398</v>
      </c>
      <c r="C489" s="1850"/>
      <c r="D489" s="1850"/>
      <c r="E489" s="1850"/>
      <c r="F489" s="1850"/>
      <c r="G489" s="1850"/>
      <c r="H489" s="1850"/>
      <c r="I489" s="1850"/>
      <c r="J489" s="1850"/>
      <c r="K489" s="1850"/>
      <c r="L489" s="1850"/>
      <c r="M489" s="1850"/>
      <c r="N489" s="1850"/>
      <c r="O489" s="1850"/>
      <c r="P489" s="1851"/>
      <c r="Q489" s="1855" t="s">
        <v>678</v>
      </c>
      <c r="R489" s="1856"/>
      <c r="S489" s="1826" t="s">
        <v>166</v>
      </c>
      <c r="T489" s="1827"/>
      <c r="U489" s="1827"/>
      <c r="V489" s="1827"/>
      <c r="W489" s="1827"/>
      <c r="X489" s="1827"/>
      <c r="Y489" s="1827"/>
      <c r="Z489" s="1827"/>
      <c r="AA489" s="1827"/>
      <c r="AB489" s="1827"/>
      <c r="AC489" s="1827"/>
      <c r="AD489" s="1827"/>
      <c r="AE489" s="1827"/>
      <c r="AF489" s="1827"/>
      <c r="AG489" s="1827"/>
      <c r="AH489" s="1827"/>
      <c r="AI489" s="1827"/>
      <c r="AJ489" s="1827"/>
      <c r="AK489" s="182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852"/>
      <c r="C490" s="1853"/>
      <c r="D490" s="1853"/>
      <c r="E490" s="1853"/>
      <c r="F490" s="1853"/>
      <c r="G490" s="1853"/>
      <c r="H490" s="1853"/>
      <c r="I490" s="1853"/>
      <c r="J490" s="1853"/>
      <c r="K490" s="1853"/>
      <c r="L490" s="1853"/>
      <c r="M490" s="1853"/>
      <c r="N490" s="1853"/>
      <c r="O490" s="1853"/>
      <c r="P490" s="1854"/>
      <c r="Q490" s="1857"/>
      <c r="R490" s="1858"/>
      <c r="S490" s="1829"/>
      <c r="T490" s="1788"/>
      <c r="U490" s="1788"/>
      <c r="V490" s="1788"/>
      <c r="W490" s="1788"/>
      <c r="X490" s="1788"/>
      <c r="Y490" s="1788"/>
      <c r="Z490" s="1788"/>
      <c r="AA490" s="1788"/>
      <c r="AB490" s="1788"/>
      <c r="AC490" s="1788"/>
      <c r="AD490" s="1788"/>
      <c r="AE490" s="1788"/>
      <c r="AF490" s="1788"/>
      <c r="AG490" s="1788"/>
      <c r="AH490" s="1788"/>
      <c r="AI490" s="1788"/>
      <c r="AJ490" s="1788"/>
      <c r="AK490" s="183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860" t="s">
        <v>678</v>
      </c>
      <c r="R491" s="1861"/>
      <c r="S491" s="1861"/>
      <c r="T491" s="1861"/>
      <c r="U491" s="1861"/>
      <c r="V491" s="1861"/>
      <c r="W491" s="1861"/>
      <c r="X491" s="1861"/>
      <c r="Y491" s="1861"/>
      <c r="Z491" s="1861"/>
      <c r="AA491" s="1861"/>
      <c r="AB491" s="1861"/>
      <c r="AC491" s="1861"/>
      <c r="AD491" s="1861"/>
      <c r="AE491" s="1861"/>
      <c r="AF491" s="1861"/>
      <c r="AG491" s="1861"/>
      <c r="AH491" s="1861"/>
      <c r="AI491" s="1861"/>
      <c r="AJ491" s="1861"/>
      <c r="AK491" s="186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708" t="s">
        <v>2744</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70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708">
        <v>0.5</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70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708">
        <v>62</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70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34">
        <v>62</v>
      </c>
      <c r="N495" s="1435"/>
      <c r="O495" s="1435"/>
      <c r="P495" s="1436"/>
      <c r="Q495" s="121" t="s">
        <v>1783</v>
      </c>
      <c r="R495" s="5"/>
      <c r="S495" s="5"/>
      <c r="T495" s="5"/>
      <c r="U495" s="5"/>
      <c r="V495" s="5"/>
      <c r="W495" s="5"/>
      <c r="X495" s="5"/>
      <c r="Y495" s="5"/>
      <c r="Z495" s="5"/>
      <c r="AA495" s="5"/>
      <c r="AB495" s="5"/>
      <c r="AC495" s="5"/>
      <c r="AD495" s="5"/>
      <c r="AE495" s="5"/>
      <c r="AF495" s="5"/>
      <c r="AG495" s="5"/>
      <c r="AH495" s="1434"/>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5" t="s">
        <v>402</v>
      </c>
      <c r="AD499" s="1716"/>
      <c r="AE499" s="1716"/>
      <c r="AF499" s="1716"/>
      <c r="AG499" s="1716"/>
      <c r="AH499" s="1716"/>
      <c r="AI499" s="1716"/>
      <c r="AJ499" s="1716"/>
      <c r="AK499" s="171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5" t="s">
        <v>403</v>
      </c>
      <c r="AD500" s="1716"/>
      <c r="AE500" s="1716"/>
      <c r="AF500" s="1716"/>
      <c r="AG500" s="50" t="s">
        <v>404</v>
      </c>
      <c r="AH500" s="1716" t="s">
        <v>405</v>
      </c>
      <c r="AI500" s="1716"/>
      <c r="AJ500" s="1716"/>
      <c r="AK500" s="171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712" t="s">
        <v>406</v>
      </c>
      <c r="C501" s="1507"/>
      <c r="D501" s="1507"/>
      <c r="E501" s="1507"/>
      <c r="F501" s="1507"/>
      <c r="G501" s="1507"/>
      <c r="H501" s="1508"/>
      <c r="I501" s="42" t="s">
        <v>407</v>
      </c>
      <c r="J501" s="42"/>
      <c r="K501" s="42"/>
      <c r="L501" s="42"/>
      <c r="M501" s="42"/>
      <c r="N501" s="42"/>
      <c r="O501" s="42"/>
      <c r="P501" s="42"/>
      <c r="Q501" s="42"/>
      <c r="R501" s="42"/>
      <c r="S501" s="42"/>
      <c r="T501" s="42"/>
      <c r="U501" s="42"/>
      <c r="V501" s="42"/>
      <c r="W501" s="42"/>
      <c r="AC501" s="1711">
        <v>6</v>
      </c>
      <c r="AD501" s="1646"/>
      <c r="AE501" s="1646"/>
      <c r="AF501" s="1646"/>
      <c r="AG501" s="13" t="s">
        <v>404</v>
      </c>
      <c r="AH501" s="1628">
        <v>2022</v>
      </c>
      <c r="AI501" s="1628"/>
      <c r="AJ501" s="1628"/>
      <c r="AK501" s="162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713"/>
      <c r="C502" s="1509"/>
      <c r="D502" s="1509"/>
      <c r="E502" s="1509"/>
      <c r="F502" s="1509"/>
      <c r="G502" s="1509"/>
      <c r="H502" s="1510"/>
      <c r="I502" s="48" t="s">
        <v>408</v>
      </c>
      <c r="J502" s="48"/>
      <c r="K502" s="48"/>
      <c r="L502" s="48"/>
      <c r="M502" s="48"/>
      <c r="N502" s="48"/>
      <c r="O502" s="48"/>
      <c r="P502" s="48"/>
      <c r="Q502" s="48"/>
      <c r="R502" s="48"/>
      <c r="S502" s="48"/>
      <c r="T502" s="48"/>
      <c r="U502" s="48"/>
      <c r="V502" s="48"/>
      <c r="W502" s="48"/>
      <c r="X502" s="48"/>
      <c r="Y502" s="48"/>
      <c r="Z502" s="48"/>
      <c r="AA502" s="48"/>
      <c r="AB502" s="48"/>
      <c r="AC502" s="1711">
        <v>9</v>
      </c>
      <c r="AD502" s="1646"/>
      <c r="AE502" s="1646"/>
      <c r="AF502" s="1646"/>
      <c r="AG502" s="38" t="s">
        <v>404</v>
      </c>
      <c r="AH502" s="1628">
        <v>2025</v>
      </c>
      <c r="AI502" s="1628"/>
      <c r="AJ502" s="1628"/>
      <c r="AK502" s="162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712" t="s">
        <v>409</v>
      </c>
      <c r="C503" s="1507"/>
      <c r="D503" s="1507"/>
      <c r="E503" s="1507"/>
      <c r="F503" s="1507"/>
      <c r="G503" s="1507"/>
      <c r="H503" s="1508"/>
      <c r="I503" s="42" t="s">
        <v>410</v>
      </c>
      <c r="J503" s="42"/>
      <c r="K503" s="42"/>
      <c r="L503" s="42"/>
      <c r="M503" s="42"/>
      <c r="N503" s="42"/>
      <c r="O503" s="42"/>
      <c r="P503" s="42"/>
      <c r="Q503" s="42"/>
      <c r="R503" s="42"/>
      <c r="S503" s="42"/>
      <c r="T503" s="42"/>
      <c r="U503" s="42"/>
      <c r="V503" s="42"/>
      <c r="W503" s="42"/>
      <c r="AC503" s="1711" t="s">
        <v>600</v>
      </c>
      <c r="AD503" s="1646"/>
      <c r="AE503" s="1646"/>
      <c r="AF503" s="1646"/>
      <c r="AG503" s="13" t="s">
        <v>404</v>
      </c>
      <c r="AH503" s="1628"/>
      <c r="AI503" s="1628"/>
      <c r="AJ503" s="1628"/>
      <c r="AK503" s="162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713"/>
      <c r="C504" s="1509"/>
      <c r="D504" s="1509"/>
      <c r="E504" s="1509"/>
      <c r="F504" s="1509"/>
      <c r="G504" s="1509"/>
      <c r="H504" s="1510"/>
      <c r="I504" t="s">
        <v>411</v>
      </c>
      <c r="AC504" s="1711" t="s">
        <v>600</v>
      </c>
      <c r="AD504" s="1646"/>
      <c r="AE504" s="1646"/>
      <c r="AF504" s="1646"/>
      <c r="AG504" s="13" t="s">
        <v>404</v>
      </c>
      <c r="AH504" s="1628"/>
      <c r="AI504" s="1628"/>
      <c r="AJ504" s="1628"/>
      <c r="AK504" s="162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713"/>
      <c r="C505" s="1509"/>
      <c r="D505" s="1509"/>
      <c r="E505" s="1509"/>
      <c r="F505" s="1509"/>
      <c r="G505" s="1509"/>
      <c r="H505" s="1510"/>
      <c r="I505" t="s">
        <v>412</v>
      </c>
      <c r="AC505" s="1711">
        <v>6</v>
      </c>
      <c r="AD505" s="1646"/>
      <c r="AE505" s="1646"/>
      <c r="AF505" s="1646"/>
      <c r="AG505" s="13" t="s">
        <v>404</v>
      </c>
      <c r="AH505" s="1628">
        <v>2022</v>
      </c>
      <c r="AI505" s="1628"/>
      <c r="AJ505" s="1628"/>
      <c r="AK505" s="162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713"/>
      <c r="C506" s="1509"/>
      <c r="D506" s="1509"/>
      <c r="E506" s="1509"/>
      <c r="F506" s="1509"/>
      <c r="G506" s="1509"/>
      <c r="H506" s="1510"/>
      <c r="I506" t="s">
        <v>413</v>
      </c>
      <c r="AC506" s="1711" t="s">
        <v>600</v>
      </c>
      <c r="AD506" s="1646"/>
      <c r="AE506" s="1646"/>
      <c r="AF506" s="1646"/>
      <c r="AG506" s="13" t="s">
        <v>404</v>
      </c>
      <c r="AH506" s="1628"/>
      <c r="AI506" s="1628"/>
      <c r="AJ506" s="1628"/>
      <c r="AK506" s="162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713"/>
      <c r="C507" s="1509"/>
      <c r="D507" s="1509"/>
      <c r="E507" s="1509"/>
      <c r="F507" s="1509"/>
      <c r="G507" s="1509"/>
      <c r="H507" s="1510"/>
      <c r="I507" s="3" t="s">
        <v>414</v>
      </c>
      <c r="AC507" s="1362">
        <v>11</v>
      </c>
      <c r="AD507" s="1363"/>
      <c r="AE507" s="1363"/>
      <c r="AF507" s="1363"/>
      <c r="AG507" s="13" t="s">
        <v>404</v>
      </c>
      <c r="AH507" s="1628">
        <v>2023</v>
      </c>
      <c r="AI507" s="1628"/>
      <c r="AJ507" s="1628"/>
      <c r="AK507" s="162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713"/>
      <c r="C508" s="1509"/>
      <c r="D508" s="1509"/>
      <c r="E508" s="1509"/>
      <c r="F508" s="1509"/>
      <c r="G508" s="1509"/>
      <c r="H508" s="1510"/>
      <c r="I508" s="931" t="s">
        <v>170</v>
      </c>
      <c r="J508" s="48"/>
      <c r="K508" s="48"/>
      <c r="L508" s="1811" t="s">
        <v>335</v>
      </c>
      <c r="M508" s="1812"/>
      <c r="N508" s="1812"/>
      <c r="O508" s="1812"/>
      <c r="P508" s="1812"/>
      <c r="Q508" s="1812"/>
      <c r="R508" s="1812"/>
      <c r="S508" s="1812"/>
      <c r="T508" s="1812"/>
      <c r="U508" s="1812"/>
      <c r="V508" s="1812"/>
      <c r="W508" s="1812"/>
      <c r="X508" s="1812"/>
      <c r="Y508" s="1812"/>
      <c r="Z508" s="1812"/>
      <c r="AA508" s="1812"/>
      <c r="AB508" s="1832"/>
      <c r="AC508" s="1711" t="s">
        <v>600</v>
      </c>
      <c r="AD508" s="1646"/>
      <c r="AE508" s="1646"/>
      <c r="AF508" s="1646"/>
      <c r="AG508" s="38" t="s">
        <v>404</v>
      </c>
      <c r="AH508" s="1628"/>
      <c r="AI508" s="1628"/>
      <c r="AJ508" s="1628"/>
      <c r="AK508" s="162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845" t="s">
        <v>554</v>
      </c>
      <c r="AD509" s="1845"/>
      <c r="AE509" s="1845"/>
      <c r="AF509" s="1845"/>
      <c r="AG509" s="13"/>
      <c r="AH509" s="1301"/>
      <c r="AI509" s="1301"/>
      <c r="AJ509" s="1301"/>
      <c r="AK509" s="182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62">
        <v>1</v>
      </c>
      <c r="AD510" s="1363"/>
      <c r="AE510" s="1363"/>
      <c r="AF510" s="1364"/>
      <c r="AG510" s="13"/>
      <c r="AH510" s="1301"/>
      <c r="AI510" s="1301"/>
      <c r="AJ510" s="1301"/>
      <c r="AK510" s="182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3">
        <v>0.8</v>
      </c>
      <c r="AD512" s="1834"/>
      <c r="AE512" s="1834"/>
      <c r="AF512" s="1835"/>
      <c r="AG512" s="38"/>
      <c r="AH512" s="1836"/>
      <c r="AI512" s="1836"/>
      <c r="AJ512" s="1836"/>
      <c r="AK512" s="1837"/>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4" t="s">
        <v>403</v>
      </c>
      <c r="AD513" s="1677"/>
      <c r="AE513" s="1677"/>
      <c r="AF513" s="1677"/>
      <c r="AG513" s="38" t="s">
        <v>404</v>
      </c>
      <c r="AH513" s="1677" t="s">
        <v>405</v>
      </c>
      <c r="AI513" s="1677"/>
      <c r="AJ513" s="1677"/>
      <c r="AK513" s="1831"/>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712" t="s">
        <v>415</v>
      </c>
      <c r="C514" s="1507"/>
      <c r="D514" s="1507"/>
      <c r="E514" s="1507"/>
      <c r="F514" s="1507"/>
      <c r="G514" s="1507"/>
      <c r="H514" s="1508"/>
      <c r="I514" s="42" t="s">
        <v>416</v>
      </c>
      <c r="J514" s="42"/>
      <c r="K514" s="42"/>
      <c r="L514" s="42"/>
      <c r="M514" s="42"/>
      <c r="N514" s="42"/>
      <c r="O514" s="42"/>
      <c r="P514" s="42"/>
      <c r="Q514" s="42"/>
      <c r="R514" s="42"/>
      <c r="S514" s="42"/>
      <c r="T514" s="42"/>
      <c r="U514" s="42"/>
      <c r="V514" s="42"/>
      <c r="W514" s="42"/>
      <c r="AC514" s="1711">
        <v>2</v>
      </c>
      <c r="AD514" s="1646"/>
      <c r="AE514" s="1646"/>
      <c r="AF514" s="1646"/>
      <c r="AG514" s="13" t="s">
        <v>404</v>
      </c>
      <c r="AH514" s="1628">
        <v>2024</v>
      </c>
      <c r="AI514" s="1628"/>
      <c r="AJ514" s="1628"/>
      <c r="AK514" s="162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713"/>
      <c r="C515" s="1509"/>
      <c r="D515" s="1509"/>
      <c r="E515" s="1509"/>
      <c r="F515" s="1509"/>
      <c r="G515" s="1509"/>
      <c r="H515" s="1510"/>
      <c r="I515" t="s">
        <v>417</v>
      </c>
      <c r="AC515" s="1711">
        <v>7</v>
      </c>
      <c r="AD515" s="1646"/>
      <c r="AE515" s="1646"/>
      <c r="AF515" s="1646"/>
      <c r="AG515" s="13" t="s">
        <v>404</v>
      </c>
      <c r="AH515" s="1628">
        <v>2024</v>
      </c>
      <c r="AI515" s="1628"/>
      <c r="AJ515" s="1628"/>
      <c r="AK515" s="162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713"/>
      <c r="C516" s="1509"/>
      <c r="D516" s="1509"/>
      <c r="E516" s="1509"/>
      <c r="F516" s="1509"/>
      <c r="G516" s="1509"/>
      <c r="H516" s="1510"/>
      <c r="I516" s="48" t="s">
        <v>418</v>
      </c>
      <c r="J516" s="48"/>
      <c r="K516" s="48"/>
      <c r="L516" s="48"/>
      <c r="M516" s="48"/>
      <c r="N516" s="48"/>
      <c r="O516" s="48"/>
      <c r="P516" s="48"/>
      <c r="Q516" s="48"/>
      <c r="R516" s="48"/>
      <c r="S516" s="48"/>
      <c r="T516" s="48"/>
      <c r="U516" s="48"/>
      <c r="V516" s="48"/>
      <c r="W516" s="48"/>
      <c r="X516" s="48"/>
      <c r="Y516" s="48"/>
      <c r="Z516" s="48"/>
      <c r="AA516" s="48"/>
      <c r="AB516" s="48"/>
      <c r="AC516" s="1711">
        <v>6</v>
      </c>
      <c r="AD516" s="1646"/>
      <c r="AE516" s="1646"/>
      <c r="AF516" s="1646"/>
      <c r="AG516" s="38" t="s">
        <v>404</v>
      </c>
      <c r="AH516" s="1628">
        <v>2025</v>
      </c>
      <c r="AI516" s="1628"/>
      <c r="AJ516" s="1628"/>
      <c r="AK516" s="162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712" t="s">
        <v>419</v>
      </c>
      <c r="C517" s="1507"/>
      <c r="D517" s="1507"/>
      <c r="E517" s="1507"/>
      <c r="F517" s="1507"/>
      <c r="G517" s="1507"/>
      <c r="H517" s="1508"/>
      <c r="I517" s="42" t="s">
        <v>416</v>
      </c>
      <c r="J517" s="42"/>
      <c r="K517" s="42"/>
      <c r="L517" s="42"/>
      <c r="M517" s="42"/>
      <c r="N517" s="42"/>
      <c r="O517" s="42"/>
      <c r="P517" s="42"/>
      <c r="Q517" s="42"/>
      <c r="R517" s="42"/>
      <c r="S517" s="42"/>
      <c r="T517" s="42"/>
      <c r="U517" s="42"/>
      <c r="V517" s="42"/>
      <c r="W517" s="42"/>
      <c r="X517" s="42"/>
      <c r="Y517" s="42"/>
      <c r="Z517" s="42"/>
      <c r="AA517" s="42"/>
      <c r="AB517" s="42"/>
      <c r="AC517" s="1362">
        <v>2</v>
      </c>
      <c r="AD517" s="1363"/>
      <c r="AE517" s="1363"/>
      <c r="AF517" s="1363"/>
      <c r="AG517" s="129" t="s">
        <v>404</v>
      </c>
      <c r="AH517" s="1628">
        <v>2024</v>
      </c>
      <c r="AI517" s="1628"/>
      <c r="AJ517" s="1628"/>
      <c r="AK517" s="162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713"/>
      <c r="C518" s="1509"/>
      <c r="D518" s="1509"/>
      <c r="E518" s="1509"/>
      <c r="F518" s="1509"/>
      <c r="G518" s="1509"/>
      <c r="H518" s="1510"/>
      <c r="I518" t="s">
        <v>417</v>
      </c>
      <c r="AC518" s="1711">
        <v>7</v>
      </c>
      <c r="AD518" s="1646"/>
      <c r="AE518" s="1646"/>
      <c r="AF518" s="1646"/>
      <c r="AG518" s="13" t="s">
        <v>404</v>
      </c>
      <c r="AH518" s="1628">
        <v>2024</v>
      </c>
      <c r="AI518" s="1628"/>
      <c r="AJ518" s="1628"/>
      <c r="AK518" s="162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714"/>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711">
        <v>6</v>
      </c>
      <c r="AD519" s="1646"/>
      <c r="AE519" s="1646"/>
      <c r="AF519" s="1646"/>
      <c r="AG519" s="38" t="s">
        <v>404</v>
      </c>
      <c r="AH519" s="1628">
        <v>2025</v>
      </c>
      <c r="AI519" s="1628"/>
      <c r="AJ519" s="1628"/>
      <c r="AK519" s="162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712" t="s">
        <v>420</v>
      </c>
      <c r="C520" s="1507"/>
      <c r="D520" s="1507"/>
      <c r="E520" s="1507"/>
      <c r="F520" s="1507"/>
      <c r="G520" s="1507"/>
      <c r="H520" s="1508"/>
      <c r="I520" s="41" t="s">
        <v>421</v>
      </c>
      <c r="J520" s="42"/>
      <c r="K520" s="42"/>
      <c r="L520" s="42"/>
      <c r="M520" s="42"/>
      <c r="N520" s="42"/>
      <c r="O520" s="1811" t="s">
        <v>2766</v>
      </c>
      <c r="P520" s="1812"/>
      <c r="Q520" s="1812"/>
      <c r="R520" s="1812"/>
      <c r="S520" s="1812"/>
      <c r="T520" s="1812"/>
      <c r="U520" s="1812"/>
      <c r="V520" s="1812"/>
      <c r="W520" s="1812"/>
      <c r="X520" s="1812"/>
      <c r="Y520" s="1812"/>
      <c r="Z520" s="1812"/>
      <c r="AA520" s="1812"/>
      <c r="AB520" s="58"/>
      <c r="AC520" s="1362" t="s">
        <v>600</v>
      </c>
      <c r="AD520" s="1363"/>
      <c r="AE520" s="1363"/>
      <c r="AF520" s="1363"/>
      <c r="AG520" s="129" t="s">
        <v>404</v>
      </c>
      <c r="AH520" s="1628"/>
      <c r="AI520" s="1628"/>
      <c r="AJ520" s="1628"/>
      <c r="AK520" s="162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713"/>
      <c r="C521" s="1509"/>
      <c r="D521" s="1509"/>
      <c r="E521" s="1509"/>
      <c r="F521" s="1509"/>
      <c r="G521" s="1509"/>
      <c r="H521" s="1510"/>
      <c r="I521" s="114" t="s">
        <v>422</v>
      </c>
      <c r="AB521" s="65"/>
      <c r="AC521" s="1711">
        <v>3</v>
      </c>
      <c r="AD521" s="1646"/>
      <c r="AE521" s="1646"/>
      <c r="AF521" s="1646"/>
      <c r="AG521" s="13" t="s">
        <v>404</v>
      </c>
      <c r="AH521" s="1628">
        <v>2022</v>
      </c>
      <c r="AI521" s="1628"/>
      <c r="AJ521" s="1628"/>
      <c r="AK521" s="162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713"/>
      <c r="C522" s="1509"/>
      <c r="D522" s="1509"/>
      <c r="E522" s="1509"/>
      <c r="F522" s="1509"/>
      <c r="G522" s="1509"/>
      <c r="H522" s="1510"/>
      <c r="I522" s="47" t="s">
        <v>423</v>
      </c>
      <c r="J522" s="48"/>
      <c r="K522" s="48"/>
      <c r="L522" s="48"/>
      <c r="M522" s="48"/>
      <c r="N522" s="48"/>
      <c r="O522" s="48"/>
      <c r="P522" s="48"/>
      <c r="Q522" s="48"/>
      <c r="R522" s="48"/>
      <c r="S522" s="48"/>
      <c r="T522" s="48"/>
      <c r="U522" s="48"/>
      <c r="V522" s="48"/>
      <c r="W522" s="48"/>
      <c r="X522" s="48"/>
      <c r="Y522" s="48"/>
      <c r="Z522" s="48"/>
      <c r="AA522" s="48"/>
      <c r="AB522" s="49"/>
      <c r="AC522" s="1711">
        <v>6</v>
      </c>
      <c r="AD522" s="1646"/>
      <c r="AE522" s="1646"/>
      <c r="AF522" s="1646"/>
      <c r="AG522" s="38" t="s">
        <v>404</v>
      </c>
      <c r="AH522" s="1628">
        <v>2023</v>
      </c>
      <c r="AI522" s="1628"/>
      <c r="AJ522" s="1628"/>
      <c r="AK522" s="162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713"/>
      <c r="C523" s="1509"/>
      <c r="D523" s="1509"/>
      <c r="E523" s="1509"/>
      <c r="F523" s="1509"/>
      <c r="G523" s="1509"/>
      <c r="H523" s="1510"/>
      <c r="I523" s="42" t="s">
        <v>424</v>
      </c>
      <c r="J523" s="42"/>
      <c r="K523" s="42"/>
      <c r="L523" s="42"/>
      <c r="M523" s="42"/>
      <c r="N523" s="42"/>
      <c r="O523" s="1811" t="s">
        <v>2775</v>
      </c>
      <c r="P523" s="1812"/>
      <c r="Q523" s="1812"/>
      <c r="R523" s="1812"/>
      <c r="S523" s="1812"/>
      <c r="T523" s="1812"/>
      <c r="U523" s="1812"/>
      <c r="V523" s="1812"/>
      <c r="W523" s="1812"/>
      <c r="X523" s="1812"/>
      <c r="Y523" s="1812"/>
      <c r="Z523" s="1812"/>
      <c r="AA523" s="1812"/>
      <c r="AC523" s="1711" t="s">
        <v>600</v>
      </c>
      <c r="AD523" s="1646"/>
      <c r="AE523" s="1646"/>
      <c r="AF523" s="1646"/>
      <c r="AG523" s="13" t="s">
        <v>404</v>
      </c>
      <c r="AH523" s="1628"/>
      <c r="AI523" s="1628"/>
      <c r="AJ523" s="1628"/>
      <c r="AK523" s="162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713"/>
      <c r="C524" s="1509"/>
      <c r="D524" s="1509"/>
      <c r="E524" s="1509"/>
      <c r="F524" s="1509"/>
      <c r="G524" s="1509"/>
      <c r="H524" s="1510"/>
      <c r="I524" t="s">
        <v>422</v>
      </c>
      <c r="AC524" s="1711">
        <v>7</v>
      </c>
      <c r="AD524" s="1646"/>
      <c r="AE524" s="1646"/>
      <c r="AF524" s="1646"/>
      <c r="AG524" s="13" t="s">
        <v>404</v>
      </c>
      <c r="AH524" s="1628">
        <v>2023</v>
      </c>
      <c r="AI524" s="1628"/>
      <c r="AJ524" s="1628"/>
      <c r="AK524" s="162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713"/>
      <c r="C525" s="1509"/>
      <c r="D525" s="1509"/>
      <c r="E525" s="1509"/>
      <c r="F525" s="1509"/>
      <c r="G525" s="1509"/>
      <c r="H525" s="1510"/>
      <c r="I525" s="48" t="s">
        <v>423</v>
      </c>
      <c r="J525" s="48"/>
      <c r="K525" s="48"/>
      <c r="L525" s="48"/>
      <c r="M525" s="48"/>
      <c r="N525" s="48"/>
      <c r="O525" s="48"/>
      <c r="P525" s="48"/>
      <c r="Q525" s="48"/>
      <c r="R525" s="48"/>
      <c r="S525" s="48"/>
      <c r="T525" s="48"/>
      <c r="U525" s="48"/>
      <c r="V525" s="48"/>
      <c r="W525" s="48"/>
      <c r="X525" s="48"/>
      <c r="Y525" s="48"/>
      <c r="Z525" s="48"/>
      <c r="AA525" s="48"/>
      <c r="AB525" s="48"/>
      <c r="AC525" s="1711">
        <v>3</v>
      </c>
      <c r="AD525" s="1646"/>
      <c r="AE525" s="1646"/>
      <c r="AF525" s="1646"/>
      <c r="AG525" s="38" t="s">
        <v>404</v>
      </c>
      <c r="AH525" s="1628">
        <v>2024</v>
      </c>
      <c r="AI525" s="1628"/>
      <c r="AJ525" s="1628"/>
      <c r="AK525" s="162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713"/>
      <c r="C526" s="1509"/>
      <c r="D526" s="1509"/>
      <c r="E526" s="1509"/>
      <c r="F526" s="1509"/>
      <c r="G526" s="1509"/>
      <c r="H526" s="1510"/>
      <c r="I526" s="42" t="s">
        <v>424</v>
      </c>
      <c r="J526" s="42"/>
      <c r="K526" s="42"/>
      <c r="L526" s="42"/>
      <c r="M526" s="42"/>
      <c r="N526" s="42"/>
      <c r="O526" s="1811" t="s">
        <v>335</v>
      </c>
      <c r="P526" s="1812"/>
      <c r="Q526" s="1812"/>
      <c r="R526" s="1812"/>
      <c r="S526" s="1812"/>
      <c r="T526" s="1812"/>
      <c r="U526" s="1812"/>
      <c r="V526" s="1812"/>
      <c r="W526" s="1812"/>
      <c r="X526" s="1812"/>
      <c r="Y526" s="1812"/>
      <c r="Z526" s="1812"/>
      <c r="AA526" s="1812"/>
      <c r="AC526" s="1711" t="s">
        <v>600</v>
      </c>
      <c r="AD526" s="1646"/>
      <c r="AE526" s="1646"/>
      <c r="AF526" s="1646"/>
      <c r="AG526" s="13" t="s">
        <v>404</v>
      </c>
      <c r="AH526" s="1628"/>
      <c r="AI526" s="1628"/>
      <c r="AJ526" s="1628"/>
      <c r="AK526" s="162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713"/>
      <c r="C527" s="1509"/>
      <c r="D527" s="1509"/>
      <c r="E527" s="1509"/>
      <c r="F527" s="1509"/>
      <c r="G527" s="1509"/>
      <c r="H527" s="1510"/>
      <c r="I527" t="s">
        <v>422</v>
      </c>
      <c r="AC527" s="1711" t="s">
        <v>600</v>
      </c>
      <c r="AD527" s="1646"/>
      <c r="AE527" s="1646"/>
      <c r="AF527" s="1646"/>
      <c r="AG527" s="13" t="s">
        <v>404</v>
      </c>
      <c r="AH527" s="1628"/>
      <c r="AI527" s="1628"/>
      <c r="AJ527" s="1628"/>
      <c r="AK527" s="162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713"/>
      <c r="C528" s="1509"/>
      <c r="D528" s="1509"/>
      <c r="E528" s="1509"/>
      <c r="F528" s="1509"/>
      <c r="G528" s="1509"/>
      <c r="H528" s="1510"/>
      <c r="I528" s="48" t="s">
        <v>423</v>
      </c>
      <c r="J528" s="48"/>
      <c r="K528" s="48"/>
      <c r="L528" s="48"/>
      <c r="M528" s="48"/>
      <c r="N528" s="48"/>
      <c r="O528" s="48"/>
      <c r="P528" s="48"/>
      <c r="Q528" s="48"/>
      <c r="R528" s="48"/>
      <c r="S528" s="48"/>
      <c r="T528" s="48"/>
      <c r="U528" s="48"/>
      <c r="V528" s="48"/>
      <c r="W528" s="48"/>
      <c r="X528" s="48"/>
      <c r="Y528" s="48"/>
      <c r="Z528" s="48"/>
      <c r="AA528" s="48"/>
      <c r="AB528" s="48"/>
      <c r="AC528" s="1711" t="s">
        <v>600</v>
      </c>
      <c r="AD528" s="1646"/>
      <c r="AE528" s="1646"/>
      <c r="AF528" s="1646"/>
      <c r="AG528" s="38" t="s">
        <v>404</v>
      </c>
      <c r="AH528" s="1628"/>
      <c r="AI528" s="1628"/>
      <c r="AJ528" s="1628"/>
      <c r="AK528" s="162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713"/>
      <c r="C529" s="1509"/>
      <c r="D529" s="1509"/>
      <c r="E529" s="1509"/>
      <c r="F529" s="1509"/>
      <c r="G529" s="1509"/>
      <c r="H529" s="1510"/>
      <c r="I529" s="42" t="s">
        <v>424</v>
      </c>
      <c r="J529" s="42"/>
      <c r="K529" s="42"/>
      <c r="L529" s="42"/>
      <c r="M529" s="42"/>
      <c r="N529" s="42"/>
      <c r="O529" s="1811" t="s">
        <v>335</v>
      </c>
      <c r="P529" s="1812"/>
      <c r="Q529" s="1812"/>
      <c r="R529" s="1812"/>
      <c r="S529" s="1812"/>
      <c r="T529" s="1812"/>
      <c r="U529" s="1812"/>
      <c r="V529" s="1812"/>
      <c r="W529" s="1812"/>
      <c r="X529" s="1812"/>
      <c r="Y529" s="1812"/>
      <c r="Z529" s="1812"/>
      <c r="AA529" s="1812"/>
      <c r="AC529" s="1711" t="s">
        <v>600</v>
      </c>
      <c r="AD529" s="1646"/>
      <c r="AE529" s="1646"/>
      <c r="AF529" s="1646"/>
      <c r="AG529" s="13" t="s">
        <v>404</v>
      </c>
      <c r="AH529" s="1628"/>
      <c r="AI529" s="1628"/>
      <c r="AJ529" s="1628"/>
      <c r="AK529" s="162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713"/>
      <c r="C530" s="1509"/>
      <c r="D530" s="1509"/>
      <c r="E530" s="1509"/>
      <c r="F530" s="1509"/>
      <c r="G530" s="1509"/>
      <c r="H530" s="1510"/>
      <c r="I530" t="s">
        <v>422</v>
      </c>
      <c r="AC530" s="1711" t="s">
        <v>600</v>
      </c>
      <c r="AD530" s="1646"/>
      <c r="AE530" s="1646"/>
      <c r="AF530" s="1646"/>
      <c r="AG530" s="13" t="s">
        <v>404</v>
      </c>
      <c r="AH530" s="1628"/>
      <c r="AI530" s="1628"/>
      <c r="AJ530" s="1628"/>
      <c r="AK530" s="162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713"/>
      <c r="C531" s="1509"/>
      <c r="D531" s="1509"/>
      <c r="E531" s="1509"/>
      <c r="F531" s="1509"/>
      <c r="G531" s="1509"/>
      <c r="H531" s="1510"/>
      <c r="I531" s="48" t="s">
        <v>423</v>
      </c>
      <c r="J531" s="48"/>
      <c r="K531" s="48"/>
      <c r="L531" s="48"/>
      <c r="M531" s="48"/>
      <c r="N531" s="48"/>
      <c r="O531" s="48"/>
      <c r="P531" s="48"/>
      <c r="Q531" s="48"/>
      <c r="R531" s="48"/>
      <c r="S531" s="48"/>
      <c r="T531" s="48"/>
      <c r="U531" s="48"/>
      <c r="V531" s="48"/>
      <c r="W531" s="48"/>
      <c r="X531" s="48"/>
      <c r="Y531" s="48"/>
      <c r="Z531" s="48"/>
      <c r="AA531" s="48"/>
      <c r="AB531" s="48"/>
      <c r="AC531" s="1711" t="s">
        <v>600</v>
      </c>
      <c r="AD531" s="1646"/>
      <c r="AE531" s="1646"/>
      <c r="AF531" s="1646"/>
      <c r="AG531" s="38" t="s">
        <v>404</v>
      </c>
      <c r="AH531" s="1628"/>
      <c r="AI531" s="1628"/>
      <c r="AJ531" s="1628"/>
      <c r="AK531" s="162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713"/>
      <c r="C532" s="1509"/>
      <c r="D532" s="1509"/>
      <c r="E532" s="1509"/>
      <c r="F532" s="1509"/>
      <c r="G532" s="1509"/>
      <c r="H532" s="1510"/>
      <c r="I532" s="42" t="s">
        <v>424</v>
      </c>
      <c r="J532" s="42"/>
      <c r="K532" s="42"/>
      <c r="L532" s="42"/>
      <c r="M532" s="42"/>
      <c r="N532" s="42"/>
      <c r="O532" s="1811" t="s">
        <v>335</v>
      </c>
      <c r="P532" s="1812"/>
      <c r="Q532" s="1812"/>
      <c r="R532" s="1812"/>
      <c r="S532" s="1812"/>
      <c r="T532" s="1812"/>
      <c r="U532" s="1812"/>
      <c r="V532" s="1812"/>
      <c r="W532" s="1812"/>
      <c r="X532" s="1812"/>
      <c r="Y532" s="1812"/>
      <c r="Z532" s="1812"/>
      <c r="AA532" s="1812"/>
      <c r="AC532" s="1711" t="s">
        <v>600</v>
      </c>
      <c r="AD532" s="1646"/>
      <c r="AE532" s="1646"/>
      <c r="AF532" s="1646"/>
      <c r="AG532" s="13" t="s">
        <v>404</v>
      </c>
      <c r="AH532" s="1628"/>
      <c r="AI532" s="1628"/>
      <c r="AJ532" s="1628"/>
      <c r="AK532" s="162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713"/>
      <c r="C533" s="1509"/>
      <c r="D533" s="1509"/>
      <c r="E533" s="1509"/>
      <c r="F533" s="1509"/>
      <c r="G533" s="1509"/>
      <c r="H533" s="1510"/>
      <c r="I533" t="s">
        <v>422</v>
      </c>
      <c r="AC533" s="1711" t="s">
        <v>600</v>
      </c>
      <c r="AD533" s="1646"/>
      <c r="AE533" s="1646"/>
      <c r="AF533" s="1646"/>
      <c r="AG533" s="38" t="s">
        <v>404</v>
      </c>
      <c r="AH533" s="1628"/>
      <c r="AI533" s="1628"/>
      <c r="AJ533" s="1628"/>
      <c r="AK533" s="162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713"/>
      <c r="C534" s="1509"/>
      <c r="D534" s="1509"/>
      <c r="E534" s="1509"/>
      <c r="F534" s="1509"/>
      <c r="G534" s="1509"/>
      <c r="H534" s="1510"/>
      <c r="I534" s="48" t="s">
        <v>423</v>
      </c>
      <c r="J534" s="48"/>
      <c r="K534" s="48"/>
      <c r="L534" s="48"/>
      <c r="M534" s="48"/>
      <c r="N534" s="48"/>
      <c r="O534" s="48"/>
      <c r="P534" s="48"/>
      <c r="Q534" s="48"/>
      <c r="R534" s="48"/>
      <c r="S534" s="48"/>
      <c r="T534" s="48"/>
      <c r="U534" s="48"/>
      <c r="V534" s="48"/>
      <c r="W534" s="48"/>
      <c r="X534" s="48"/>
      <c r="Y534" s="48"/>
      <c r="Z534" s="48"/>
      <c r="AA534" s="48"/>
      <c r="AB534" s="48"/>
      <c r="AC534" s="1711" t="s">
        <v>600</v>
      </c>
      <c r="AD534" s="1646"/>
      <c r="AE534" s="1646"/>
      <c r="AF534" s="1646"/>
      <c r="AG534" s="13" t="s">
        <v>404</v>
      </c>
      <c r="AH534" s="1628"/>
      <c r="AI534" s="1628"/>
      <c r="AJ534" s="1628"/>
      <c r="AK534" s="162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713"/>
      <c r="C535" s="1509"/>
      <c r="D535" s="1509"/>
      <c r="E535" s="1509"/>
      <c r="F535" s="1509"/>
      <c r="G535" s="1509"/>
      <c r="H535" s="1510"/>
      <c r="I535" s="42" t="s">
        <v>424</v>
      </c>
      <c r="J535" s="42"/>
      <c r="K535" s="42"/>
      <c r="L535" s="42"/>
      <c r="M535" s="42"/>
      <c r="N535" s="42"/>
      <c r="O535" s="1811" t="s">
        <v>335</v>
      </c>
      <c r="P535" s="1812"/>
      <c r="Q535" s="1812"/>
      <c r="R535" s="1812"/>
      <c r="S535" s="1812"/>
      <c r="T535" s="1812"/>
      <c r="U535" s="1812"/>
      <c r="V535" s="1812"/>
      <c r="W535" s="1812"/>
      <c r="X535" s="1812"/>
      <c r="Y535" s="1812"/>
      <c r="Z535" s="1812"/>
      <c r="AA535" s="1812"/>
      <c r="AC535" s="1711" t="s">
        <v>600</v>
      </c>
      <c r="AD535" s="1646"/>
      <c r="AE535" s="1646"/>
      <c r="AF535" s="1646"/>
      <c r="AG535" s="38" t="s">
        <v>404</v>
      </c>
      <c r="AH535" s="1628"/>
      <c r="AI535" s="1628"/>
      <c r="AJ535" s="1628"/>
      <c r="AK535" s="162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713"/>
      <c r="C536" s="1509"/>
      <c r="D536" s="1509"/>
      <c r="E536" s="1509"/>
      <c r="F536" s="1509"/>
      <c r="G536" s="1509"/>
      <c r="H536" s="1510"/>
      <c r="I536" t="s">
        <v>422</v>
      </c>
      <c r="AC536" s="1711" t="s">
        <v>600</v>
      </c>
      <c r="AD536" s="1646"/>
      <c r="AE536" s="1646"/>
      <c r="AF536" s="1646"/>
      <c r="AG536" s="13" t="s">
        <v>404</v>
      </c>
      <c r="AH536" s="1628"/>
      <c r="AI536" s="1628"/>
      <c r="AJ536" s="1628"/>
      <c r="AK536" s="162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713"/>
      <c r="C537" s="1509"/>
      <c r="D537" s="1509"/>
      <c r="E537" s="1509"/>
      <c r="F537" s="1509"/>
      <c r="G537" s="1509"/>
      <c r="H537" s="1510"/>
      <c r="I537" s="48" t="s">
        <v>423</v>
      </c>
      <c r="J537" s="48"/>
      <c r="K537" s="48"/>
      <c r="L537" s="48"/>
      <c r="M537" s="48"/>
      <c r="N537" s="48"/>
      <c r="O537" s="48"/>
      <c r="P537" s="48"/>
      <c r="Q537" s="48"/>
      <c r="R537" s="48"/>
      <c r="S537" s="48"/>
      <c r="T537" s="48"/>
      <c r="U537" s="48"/>
      <c r="V537" s="48"/>
      <c r="W537" s="48"/>
      <c r="X537" s="48"/>
      <c r="Y537" s="48"/>
      <c r="Z537" s="48"/>
      <c r="AA537" s="48"/>
      <c r="AB537" s="48"/>
      <c r="AC537" s="1711" t="s">
        <v>600</v>
      </c>
      <c r="AD537" s="1646"/>
      <c r="AE537" s="1646"/>
      <c r="AF537" s="1646"/>
      <c r="AG537" s="38" t="s">
        <v>404</v>
      </c>
      <c r="AH537" s="1628"/>
      <c r="AI537" s="1628"/>
      <c r="AJ537" s="1628"/>
      <c r="AK537" s="162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713"/>
      <c r="C538" s="1509"/>
      <c r="D538" s="1509"/>
      <c r="E538" s="1509"/>
      <c r="F538" s="1509"/>
      <c r="G538" s="1509"/>
      <c r="H538" s="1510"/>
      <c r="I538" s="42" t="s">
        <v>571</v>
      </c>
      <c r="J538" s="42"/>
      <c r="K538" s="42"/>
      <c r="L538" s="42"/>
      <c r="M538" s="42"/>
      <c r="N538" s="42"/>
      <c r="O538" s="42"/>
      <c r="P538" s="42"/>
      <c r="Q538" s="42"/>
      <c r="R538" s="42"/>
      <c r="S538" s="42"/>
      <c r="T538" s="42"/>
      <c r="U538" s="42"/>
      <c r="V538" s="42"/>
      <c r="W538" s="42"/>
      <c r="AC538" s="1711">
        <v>7</v>
      </c>
      <c r="AD538" s="1646"/>
      <c r="AE538" s="1646"/>
      <c r="AF538" s="1646"/>
      <c r="AG538" s="38" t="s">
        <v>404</v>
      </c>
      <c r="AH538" s="1628">
        <v>2025</v>
      </c>
      <c r="AI538" s="1628"/>
      <c r="AJ538" s="1628"/>
      <c r="AK538" s="162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713"/>
      <c r="C539" s="1509"/>
      <c r="D539" s="1509"/>
      <c r="E539" s="1509"/>
      <c r="F539" s="1509"/>
      <c r="G539" s="1509"/>
      <c r="H539" s="1510"/>
      <c r="I539" t="s">
        <v>572</v>
      </c>
      <c r="AC539" s="1711">
        <v>6</v>
      </c>
      <c r="AD539" s="1646"/>
      <c r="AE539" s="1646"/>
      <c r="AF539" s="1646"/>
      <c r="AG539" s="13" t="s">
        <v>404</v>
      </c>
      <c r="AH539" s="1628">
        <v>2025</v>
      </c>
      <c r="AI539" s="1628"/>
      <c r="AJ539" s="1628"/>
      <c r="AK539" s="162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713"/>
      <c r="C540" s="1509"/>
      <c r="D540" s="1509"/>
      <c r="E540" s="1509"/>
      <c r="F540" s="1509"/>
      <c r="G540" s="1509"/>
      <c r="H540" s="1510"/>
      <c r="I540" t="s">
        <v>573</v>
      </c>
      <c r="AC540" s="1711">
        <v>12</v>
      </c>
      <c r="AD540" s="1646"/>
      <c r="AE540" s="1646"/>
      <c r="AF540" s="1646"/>
      <c r="AG540" s="38" t="s">
        <v>404</v>
      </c>
      <c r="AH540" s="1628">
        <v>2025</v>
      </c>
      <c r="AI540" s="1628"/>
      <c r="AJ540" s="1628"/>
      <c r="AK540" s="162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713"/>
      <c r="C541" s="1509"/>
      <c r="D541" s="1509"/>
      <c r="E541" s="1509"/>
      <c r="F541" s="1509"/>
      <c r="G541" s="1509"/>
      <c r="H541" s="1510"/>
      <c r="I541" t="s">
        <v>574</v>
      </c>
      <c r="AC541" s="1711">
        <v>1</v>
      </c>
      <c r="AD541" s="1646"/>
      <c r="AE541" s="1646"/>
      <c r="AF541" s="1646"/>
      <c r="AG541" s="38" t="s">
        <v>404</v>
      </c>
      <c r="AH541" s="1628">
        <v>2026</v>
      </c>
      <c r="AI541" s="1628"/>
      <c r="AJ541" s="1628"/>
      <c r="AK541" s="162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714"/>
      <c r="C542" s="1511"/>
      <c r="D542" s="1511"/>
      <c r="E542" s="1511"/>
      <c r="F542" s="1511"/>
      <c r="G542" s="1511"/>
      <c r="H542" s="1512"/>
      <c r="I542" s="48" t="s">
        <v>460</v>
      </c>
      <c r="J542" s="48"/>
      <c r="K542" s="48"/>
      <c r="L542" s="48"/>
      <c r="M542" s="48"/>
      <c r="N542" s="48"/>
      <c r="O542" s="48"/>
      <c r="P542" s="48"/>
      <c r="Q542" s="48"/>
      <c r="R542" s="48"/>
      <c r="S542" s="48"/>
      <c r="T542" s="48"/>
      <c r="U542" s="48"/>
      <c r="V542" s="48"/>
      <c r="W542" s="48"/>
      <c r="X542" s="48"/>
      <c r="Y542" s="48"/>
      <c r="Z542" s="48"/>
      <c r="AA542" s="48"/>
      <c r="AB542" s="48"/>
      <c r="AC542" s="1711">
        <v>3</v>
      </c>
      <c r="AD542" s="1646"/>
      <c r="AE542" s="1646"/>
      <c r="AF542" s="1646"/>
      <c r="AG542" s="38" t="s">
        <v>404</v>
      </c>
      <c r="AH542" s="1628">
        <v>2026</v>
      </c>
      <c r="AI542" s="1628"/>
      <c r="AJ542" s="1628"/>
      <c r="AK542" s="1629"/>
      <c r="BB542" s="3"/>
      <c r="BC542" s="3"/>
      <c r="BD542" s="3"/>
      <c r="BE542" s="3"/>
      <c r="BF542" s="3"/>
      <c r="BG542" s="3"/>
      <c r="BH542" s="3" t="s">
        <v>112</v>
      </c>
      <c r="BI542" s="3" t="str">
        <f>N649</f>
        <v>No</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No</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712" t="s">
        <v>2421</v>
      </c>
      <c r="C551" s="1507"/>
      <c r="D551" s="1507"/>
      <c r="E551" s="1507"/>
      <c r="F551" s="1507"/>
      <c r="G551" s="1507"/>
      <c r="H551" s="1507"/>
      <c r="I551" s="1507"/>
      <c r="J551" s="1507"/>
      <c r="K551" s="1507"/>
      <c r="L551" s="1508"/>
      <c r="M551" s="1712" t="s">
        <v>2422</v>
      </c>
      <c r="N551" s="1507"/>
      <c r="O551" s="1507"/>
      <c r="P551" s="1508"/>
      <c r="Q551" s="1712" t="s">
        <v>2448</v>
      </c>
      <c r="R551" s="1507"/>
      <c r="S551" s="1508"/>
      <c r="T551" s="1712" t="s">
        <v>2449</v>
      </c>
      <c r="U551" s="1507"/>
      <c r="V551" s="1508"/>
      <c r="W551" s="1712" t="s">
        <v>462</v>
      </c>
      <c r="X551" s="1507"/>
      <c r="Y551" s="1508"/>
      <c r="Z551" s="1712" t="s">
        <v>2042</v>
      </c>
      <c r="AA551" s="1507"/>
      <c r="AB551" s="1507"/>
      <c r="AC551" s="1507"/>
      <c r="AD551" s="1508"/>
      <c r="AE551" s="1712" t="s">
        <v>1864</v>
      </c>
      <c r="AF551" s="1507"/>
      <c r="AG551" s="1507"/>
      <c r="AH551" s="1508"/>
      <c r="AI551" s="1712" t="s">
        <v>1865</v>
      </c>
      <c r="AJ551" s="1507"/>
      <c r="AK551" s="1507"/>
      <c r="AL551" s="1508"/>
      <c r="AM551" s="1712" t="s">
        <v>463</v>
      </c>
      <c r="AN551" s="1507"/>
      <c r="AO551" s="1507"/>
      <c r="AP551" s="1507"/>
      <c r="AQ551" s="1507"/>
      <c r="AR551" s="1507"/>
      <c r="AS551" s="1508"/>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713"/>
      <c r="C552" s="1509"/>
      <c r="D552" s="1509"/>
      <c r="E552" s="1509"/>
      <c r="F552" s="1509"/>
      <c r="G552" s="1509"/>
      <c r="H552" s="1509"/>
      <c r="I552" s="1509"/>
      <c r="J552" s="1509"/>
      <c r="K552" s="1509"/>
      <c r="L552" s="1510"/>
      <c r="M552" s="1713"/>
      <c r="N552" s="1509"/>
      <c r="O552" s="1509"/>
      <c r="P552" s="1510"/>
      <c r="Q552" s="1713"/>
      <c r="R552" s="1509"/>
      <c r="S552" s="1510"/>
      <c r="T552" s="1713"/>
      <c r="U552" s="1509"/>
      <c r="V552" s="1510"/>
      <c r="W552" s="1713"/>
      <c r="X552" s="1509"/>
      <c r="Y552" s="1510"/>
      <c r="Z552" s="1713"/>
      <c r="AA552" s="1509"/>
      <c r="AB552" s="1509"/>
      <c r="AC552" s="1509"/>
      <c r="AD552" s="1510"/>
      <c r="AE552" s="1713"/>
      <c r="AF552" s="1509"/>
      <c r="AG552" s="1509"/>
      <c r="AH552" s="1510"/>
      <c r="AI552" s="1713"/>
      <c r="AJ552" s="1509"/>
      <c r="AK552" s="1509"/>
      <c r="AL552" s="1510"/>
      <c r="AM552" s="1713"/>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714"/>
      <c r="C553" s="1511"/>
      <c r="D553" s="1511"/>
      <c r="E553" s="1511"/>
      <c r="F553" s="1511"/>
      <c r="G553" s="1511"/>
      <c r="H553" s="1511"/>
      <c r="I553" s="1511"/>
      <c r="J553" s="1511"/>
      <c r="K553" s="1511"/>
      <c r="L553" s="1512"/>
      <c r="M553" s="1714"/>
      <c r="N553" s="1511"/>
      <c r="O553" s="1511"/>
      <c r="P553" s="1512"/>
      <c r="Q553" s="1714"/>
      <c r="R553" s="1511"/>
      <c r="S553" s="1512"/>
      <c r="T553" s="1714"/>
      <c r="U553" s="1511"/>
      <c r="V553" s="1512"/>
      <c r="W553" s="1714"/>
      <c r="X553" s="1511"/>
      <c r="Y553" s="1512"/>
      <c r="Z553" s="1714"/>
      <c r="AA553" s="1511"/>
      <c r="AB553" s="1511"/>
      <c r="AC553" s="1511"/>
      <c r="AD553" s="1512"/>
      <c r="AE553" s="1714"/>
      <c r="AF553" s="1511"/>
      <c r="AG553" s="1511"/>
      <c r="AH553" s="1512"/>
      <c r="AI553" s="1714"/>
      <c r="AJ553" s="1511"/>
      <c r="AK553" s="1511"/>
      <c r="AL553" s="1512"/>
      <c r="AM553" s="1714"/>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706" t="s">
        <v>2756</v>
      </c>
      <c r="D554" s="1706"/>
      <c r="E554" s="1706"/>
      <c r="F554" s="1706"/>
      <c r="G554" s="1706"/>
      <c r="H554" s="1706"/>
      <c r="I554" s="1706"/>
      <c r="J554" s="1706"/>
      <c r="K554" s="1706"/>
      <c r="L554" s="1706"/>
      <c r="M554" s="1706" t="s">
        <v>2438</v>
      </c>
      <c r="N554" s="1706"/>
      <c r="O554" s="1706"/>
      <c r="P554" s="1706"/>
      <c r="Q554" s="1469">
        <v>26</v>
      </c>
      <c r="R554" s="1469"/>
      <c r="S554" s="1470"/>
      <c r="T554" s="1468"/>
      <c r="U554" s="1469"/>
      <c r="V554" s="1470"/>
      <c r="W554" s="1471">
        <f>[1]EVERYTHING!$I$23</f>
        <v>7.7499999999999999E-2</v>
      </c>
      <c r="X554" s="1472"/>
      <c r="Y554" s="1473"/>
      <c r="Z554" s="1641" t="s">
        <v>2757</v>
      </c>
      <c r="AA554" s="1641"/>
      <c r="AB554" s="1641"/>
      <c r="AC554" s="1641"/>
      <c r="AD554" s="1641"/>
      <c r="AE554" s="1767">
        <v>1</v>
      </c>
      <c r="AF554" s="1768"/>
      <c r="AG554" s="1768"/>
      <c r="AH554" s="1769"/>
      <c r="AI554" s="1718"/>
      <c r="AJ554" s="1719"/>
      <c r="AK554" s="1719"/>
      <c r="AL554" s="1720"/>
      <c r="AM554" s="1695">
        <f>[2]EVERYTHING!$L$124</f>
        <v>39194154.526084818</v>
      </c>
      <c r="AN554" s="1696"/>
      <c r="AO554" s="1696"/>
      <c r="AP554" s="1696"/>
      <c r="AQ554" s="1696"/>
      <c r="AR554" s="1696"/>
      <c r="AS554" s="169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705" t="s">
        <v>2758</v>
      </c>
      <c r="D555" s="1705"/>
      <c r="E555" s="1705"/>
      <c r="F555" s="1705"/>
      <c r="G555" s="1705"/>
      <c r="H555" s="1705"/>
      <c r="I555" s="1705"/>
      <c r="J555" s="1705"/>
      <c r="K555" s="1705"/>
      <c r="L555" s="1705"/>
      <c r="M555" s="1706" t="s">
        <v>2437</v>
      </c>
      <c r="N555" s="1706"/>
      <c r="O555" s="1706"/>
      <c r="P555" s="1706"/>
      <c r="Q555" s="1468">
        <v>26</v>
      </c>
      <c r="R555" s="1469"/>
      <c r="S555" s="1470"/>
      <c r="T555" s="1468"/>
      <c r="U555" s="1469"/>
      <c r="V555" s="1470"/>
      <c r="W555" s="1471">
        <f>W554</f>
        <v>7.7499999999999999E-2</v>
      </c>
      <c r="X555" s="1472"/>
      <c r="Y555" s="1473"/>
      <c r="Z555" s="1641" t="s">
        <v>2757</v>
      </c>
      <c r="AA555" s="1641"/>
      <c r="AB555" s="1641"/>
      <c r="AC555" s="1641"/>
      <c r="AD555" s="1641"/>
      <c r="AE555" s="1767">
        <v>1</v>
      </c>
      <c r="AF555" s="1768"/>
      <c r="AG555" s="1768"/>
      <c r="AH555" s="1769"/>
      <c r="AI555" s="1718"/>
      <c r="AJ555" s="1719"/>
      <c r="AK555" s="1719"/>
      <c r="AL555" s="1720"/>
      <c r="AM555" s="1695">
        <f>[2]EVERYTHING!$L$125</f>
        <v>8941434.2901965901</v>
      </c>
      <c r="AN555" s="1696"/>
      <c r="AO555" s="1696"/>
      <c r="AP555" s="1696"/>
      <c r="AQ555" s="1696"/>
      <c r="AR555" s="1696"/>
      <c r="AS555" s="169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705" t="s">
        <v>2751</v>
      </c>
      <c r="D556" s="1705"/>
      <c r="E556" s="1705"/>
      <c r="F556" s="1705"/>
      <c r="G556" s="1705"/>
      <c r="H556" s="1705"/>
      <c r="I556" s="1705"/>
      <c r="J556" s="1705"/>
      <c r="K556" s="1705"/>
      <c r="L556" s="1705"/>
      <c r="M556" s="1706" t="s">
        <v>2434</v>
      </c>
      <c r="N556" s="1706"/>
      <c r="O556" s="1706"/>
      <c r="P556" s="1706"/>
      <c r="Q556" s="1468">
        <f>55*12</f>
        <v>660</v>
      </c>
      <c r="R556" s="1469"/>
      <c r="S556" s="1470"/>
      <c r="T556" s="1468"/>
      <c r="U556" s="1469"/>
      <c r="V556" s="1470"/>
      <c r="W556" s="1471">
        <v>0.03</v>
      </c>
      <c r="X556" s="1472"/>
      <c r="Y556" s="1473"/>
      <c r="Z556" s="1641" t="s">
        <v>2759</v>
      </c>
      <c r="AA556" s="1641"/>
      <c r="AB556" s="1641"/>
      <c r="AC556" s="1641"/>
      <c r="AD556" s="1641"/>
      <c r="AE556" s="1767">
        <v>2</v>
      </c>
      <c r="AF556" s="1768"/>
      <c r="AG556" s="1768"/>
      <c r="AH556" s="1769"/>
      <c r="AI556" s="1718"/>
      <c r="AJ556" s="1719"/>
      <c r="AK556" s="1719"/>
      <c r="AL556" s="1720"/>
      <c r="AM556" s="1695">
        <f>[2]EVERYTHING!$H$9</f>
        <v>14531301</v>
      </c>
      <c r="AN556" s="1696"/>
      <c r="AO556" s="1696"/>
      <c r="AP556" s="1696"/>
      <c r="AQ556" s="1696"/>
      <c r="AR556" s="1696"/>
      <c r="AS556" s="169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705" t="s">
        <v>2760</v>
      </c>
      <c r="D557" s="1705"/>
      <c r="E557" s="1705"/>
      <c r="F557" s="1705"/>
      <c r="G557" s="1705"/>
      <c r="H557" s="1705"/>
      <c r="I557" s="1705"/>
      <c r="J557" s="1705"/>
      <c r="K557" s="1705"/>
      <c r="L557" s="1705"/>
      <c r="M557" s="1706" t="s">
        <v>2434</v>
      </c>
      <c r="N557" s="1706"/>
      <c r="O557" s="1706"/>
      <c r="P557" s="1706"/>
      <c r="Q557" s="1468">
        <v>660</v>
      </c>
      <c r="R557" s="1469"/>
      <c r="S557" s="1470"/>
      <c r="T557" s="1468"/>
      <c r="U557" s="1469"/>
      <c r="V557" s="1470"/>
      <c r="W557" s="1471">
        <v>0.03</v>
      </c>
      <c r="X557" s="1472"/>
      <c r="Y557" s="1473"/>
      <c r="Z557" s="1641" t="s">
        <v>2759</v>
      </c>
      <c r="AA557" s="1641"/>
      <c r="AB557" s="1641"/>
      <c r="AC557" s="1641"/>
      <c r="AD557" s="1641"/>
      <c r="AE557" s="1767">
        <v>3</v>
      </c>
      <c r="AF557" s="1768"/>
      <c r="AG557" s="1768"/>
      <c r="AH557" s="1769"/>
      <c r="AI557" s="1718"/>
      <c r="AJ557" s="1719"/>
      <c r="AK557" s="1719"/>
      <c r="AL557" s="1720"/>
      <c r="AM557" s="1695">
        <f>[2]EVERYTHING!$H$8</f>
        <v>3556400</v>
      </c>
      <c r="AN557" s="1696"/>
      <c r="AO557" s="1696"/>
      <c r="AP557" s="1696"/>
      <c r="AQ557" s="1696"/>
      <c r="AR557" s="1696"/>
      <c r="AS557" s="169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705" t="s">
        <v>2761</v>
      </c>
      <c r="D558" s="1705"/>
      <c r="E558" s="1705"/>
      <c r="F558" s="1705"/>
      <c r="G558" s="1705"/>
      <c r="H558" s="1705"/>
      <c r="I558" s="1705"/>
      <c r="J558" s="1705"/>
      <c r="K558" s="1705"/>
      <c r="L558" s="1705"/>
      <c r="M558" s="1706" t="s">
        <v>2428</v>
      </c>
      <c r="N558" s="1706"/>
      <c r="O558" s="1706"/>
      <c r="P558" s="1706"/>
      <c r="Q558" s="1468"/>
      <c r="R558" s="1469"/>
      <c r="S558" s="1470"/>
      <c r="T558" s="1468"/>
      <c r="U558" s="1469"/>
      <c r="V558" s="1470"/>
      <c r="W558" s="1471"/>
      <c r="X558" s="1472"/>
      <c r="Y558" s="1473"/>
      <c r="Z558" s="1641" t="s">
        <v>600</v>
      </c>
      <c r="AA558" s="1641"/>
      <c r="AB558" s="1641"/>
      <c r="AC558" s="1641"/>
      <c r="AD558" s="1641"/>
      <c r="AE558" s="1767"/>
      <c r="AF558" s="1768"/>
      <c r="AG558" s="1768"/>
      <c r="AH558" s="1769"/>
      <c r="AI558" s="1718"/>
      <c r="AJ558" s="1719"/>
      <c r="AK558" s="1719"/>
      <c r="AL558" s="1720"/>
      <c r="AM558" s="1695">
        <f>[2]EVERYTHING!$H$15</f>
        <v>1724654.6746198384</v>
      </c>
      <c r="AN558" s="1696"/>
      <c r="AO558" s="1696"/>
      <c r="AP558" s="1696"/>
      <c r="AQ558" s="1696"/>
      <c r="AR558" s="1696"/>
      <c r="AS558" s="1697"/>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705" t="s">
        <v>1850</v>
      </c>
      <c r="D559" s="1705"/>
      <c r="E559" s="1705"/>
      <c r="F559" s="1705"/>
      <c r="G559" s="1705"/>
      <c r="H559" s="1705"/>
      <c r="I559" s="1705"/>
      <c r="J559" s="1705"/>
      <c r="K559" s="1705"/>
      <c r="L559" s="1705"/>
      <c r="M559" s="1706" t="s">
        <v>2425</v>
      </c>
      <c r="N559" s="1706"/>
      <c r="O559" s="1706"/>
      <c r="P559" s="1706"/>
      <c r="Q559" s="1468"/>
      <c r="R559" s="1469"/>
      <c r="S559" s="1470"/>
      <c r="T559" s="1468"/>
      <c r="U559" s="1469"/>
      <c r="V559" s="1470"/>
      <c r="W559" s="1471"/>
      <c r="X559" s="1472"/>
      <c r="Y559" s="1473"/>
      <c r="Z559" s="1641" t="s">
        <v>600</v>
      </c>
      <c r="AA559" s="1641"/>
      <c r="AB559" s="1641"/>
      <c r="AC559" s="1641"/>
      <c r="AD559" s="1641"/>
      <c r="AE559" s="1767"/>
      <c r="AF559" s="1768"/>
      <c r="AG559" s="1768"/>
      <c r="AH559" s="1769"/>
      <c r="AI559" s="1718"/>
      <c r="AJ559" s="1719"/>
      <c r="AK559" s="1719"/>
      <c r="AL559" s="1720"/>
      <c r="AM559" s="1695">
        <f>[2]EVERYTHING!$H$16</f>
        <v>700000</v>
      </c>
      <c r="AN559" s="1696"/>
      <c r="AO559" s="1696"/>
      <c r="AP559" s="1696"/>
      <c r="AQ559" s="1696"/>
      <c r="AR559" s="1696"/>
      <c r="AS559" s="169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705" t="s">
        <v>2761</v>
      </c>
      <c r="D560" s="1705"/>
      <c r="E560" s="1705"/>
      <c r="F560" s="1705"/>
      <c r="G560" s="1705"/>
      <c r="H560" s="1705"/>
      <c r="I560" s="1705"/>
      <c r="J560" s="1705"/>
      <c r="K560" s="1705"/>
      <c r="L560" s="1705"/>
      <c r="M560" s="1706" t="s">
        <v>2428</v>
      </c>
      <c r="N560" s="1706"/>
      <c r="O560" s="1706"/>
      <c r="P560" s="1706"/>
      <c r="Q560" s="1468"/>
      <c r="R560" s="1469"/>
      <c r="S560" s="1470"/>
      <c r="T560" s="1468"/>
      <c r="U560" s="1469"/>
      <c r="V560" s="1470"/>
      <c r="W560" s="1471"/>
      <c r="X560" s="1472"/>
      <c r="Y560" s="1473"/>
      <c r="Z560" s="1641" t="s">
        <v>600</v>
      </c>
      <c r="AA560" s="1641"/>
      <c r="AB560" s="1641"/>
      <c r="AC560" s="1641"/>
      <c r="AD560" s="1641"/>
      <c r="AE560" s="1767"/>
      <c r="AF560" s="1768"/>
      <c r="AG560" s="1768"/>
      <c r="AH560" s="1769"/>
      <c r="AI560" s="1718"/>
      <c r="AJ560" s="1719"/>
      <c r="AK560" s="1719"/>
      <c r="AL560" s="1720"/>
      <c r="AM560" s="1695">
        <f>[2]EVERYTHING!$K$17</f>
        <v>100</v>
      </c>
      <c r="AN560" s="1696"/>
      <c r="AO560" s="1696"/>
      <c r="AP560" s="1696"/>
      <c r="AQ560" s="1696"/>
      <c r="AR560" s="1696"/>
      <c r="AS560" s="169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705" t="s">
        <v>2762</v>
      </c>
      <c r="D561" s="1705"/>
      <c r="E561" s="1705"/>
      <c r="F561" s="1705"/>
      <c r="G561" s="1705"/>
      <c r="H561" s="1705"/>
      <c r="I561" s="1705"/>
      <c r="J561" s="1705"/>
      <c r="K561" s="1705"/>
      <c r="L561" s="1705"/>
      <c r="M561" s="1706" t="s">
        <v>2429</v>
      </c>
      <c r="N561" s="1706"/>
      <c r="O561" s="1706"/>
      <c r="P561" s="1706"/>
      <c r="Q561" s="1468"/>
      <c r="R561" s="1469"/>
      <c r="S561" s="1470"/>
      <c r="T561" s="1468"/>
      <c r="U561" s="1469"/>
      <c r="V561" s="1470"/>
      <c r="W561" s="1471"/>
      <c r="X561" s="1472"/>
      <c r="Y561" s="1473"/>
      <c r="Z561" s="1641" t="s">
        <v>600</v>
      </c>
      <c r="AA561" s="1641"/>
      <c r="AB561" s="1641"/>
      <c r="AC561" s="1641"/>
      <c r="AD561" s="1641"/>
      <c r="AE561" s="1767"/>
      <c r="AF561" s="1768"/>
      <c r="AG561" s="1768"/>
      <c r="AH561" s="1769"/>
      <c r="AI561" s="1718"/>
      <c r="AJ561" s="1719"/>
      <c r="AK561" s="1719"/>
      <c r="AL561" s="1720"/>
      <c r="AM561" s="1695">
        <f>[2]EVERYTHING!$K$18-[2]EVERYTHING!$H$112</f>
        <v>2779028</v>
      </c>
      <c r="AN561" s="1696"/>
      <c r="AO561" s="1696"/>
      <c r="AP561" s="1696"/>
      <c r="AQ561" s="1696"/>
      <c r="AR561" s="1696"/>
      <c r="AS561" s="169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705" t="s">
        <v>2763</v>
      </c>
      <c r="D562" s="1705"/>
      <c r="E562" s="1705"/>
      <c r="F562" s="1705"/>
      <c r="G562" s="1705"/>
      <c r="H562" s="1705"/>
      <c r="I562" s="1705"/>
      <c r="J562" s="1705"/>
      <c r="K562" s="1705"/>
      <c r="L562" s="1705"/>
      <c r="M562" s="1706" t="s">
        <v>2424</v>
      </c>
      <c r="N562" s="1706"/>
      <c r="O562" s="1706"/>
      <c r="P562" s="1706"/>
      <c r="Q562" s="1468"/>
      <c r="R562" s="1469"/>
      <c r="S562" s="1470"/>
      <c r="T562" s="1468"/>
      <c r="U562" s="1469"/>
      <c r="V562" s="1470"/>
      <c r="W562" s="1471"/>
      <c r="X562" s="1472"/>
      <c r="Y562" s="1473"/>
      <c r="Z562" s="1641" t="s">
        <v>600</v>
      </c>
      <c r="AA562" s="1641"/>
      <c r="AB562" s="1641"/>
      <c r="AC562" s="1641"/>
      <c r="AD562" s="1641"/>
      <c r="AE562" s="1767"/>
      <c r="AF562" s="1768"/>
      <c r="AG562" s="1768"/>
      <c r="AH562" s="1769"/>
      <c r="AI562" s="1718"/>
      <c r="AJ562" s="1719"/>
      <c r="AK562" s="1719"/>
      <c r="AL562" s="1720"/>
      <c r="AM562" s="1695">
        <f>([2]EVERYTHING!$H$98-[2]EVERYTHING!$L$98-[2]EVERYTHING!$H$16)+[2]EVERYTHING!$H$80+[2]EVERYTHING!$M$66</f>
        <v>3747509.6</v>
      </c>
      <c r="AN562" s="1696"/>
      <c r="AO562" s="1696"/>
      <c r="AP562" s="1696"/>
      <c r="AQ562" s="1696"/>
      <c r="AR562" s="1696"/>
      <c r="AS562" s="169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705"/>
      <c r="D563" s="1705"/>
      <c r="E563" s="1705"/>
      <c r="F563" s="1705"/>
      <c r="G563" s="1705"/>
      <c r="H563" s="1705"/>
      <c r="I563" s="1705"/>
      <c r="J563" s="1705"/>
      <c r="K563" s="1705"/>
      <c r="L563" s="1705"/>
      <c r="M563" s="1706" t="s">
        <v>1291</v>
      </c>
      <c r="N563" s="1706"/>
      <c r="O563" s="1706"/>
      <c r="P563" s="1706"/>
      <c r="Q563" s="1468"/>
      <c r="R563" s="1469"/>
      <c r="S563" s="1470"/>
      <c r="T563" s="1468"/>
      <c r="U563" s="1469"/>
      <c r="V563" s="1470"/>
      <c r="W563" s="1471"/>
      <c r="X563" s="1472"/>
      <c r="Y563" s="1473"/>
      <c r="Z563" s="1641" t="s">
        <v>1291</v>
      </c>
      <c r="AA563" s="1641"/>
      <c r="AB563" s="1641"/>
      <c r="AC563" s="1641"/>
      <c r="AD563" s="1641"/>
      <c r="AE563" s="1767"/>
      <c r="AF563" s="1768"/>
      <c r="AG563" s="1768"/>
      <c r="AH563" s="1769"/>
      <c r="AI563" s="1718"/>
      <c r="AJ563" s="1719"/>
      <c r="AK563" s="1719"/>
      <c r="AL563" s="1720"/>
      <c r="AM563" s="1695"/>
      <c r="AN563" s="1696"/>
      <c r="AO563" s="1696"/>
      <c r="AP563" s="1696"/>
      <c r="AQ563" s="1696"/>
      <c r="AR563" s="1696"/>
      <c r="AS563" s="169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705"/>
      <c r="D564" s="1705"/>
      <c r="E564" s="1705"/>
      <c r="F564" s="1705"/>
      <c r="G564" s="1705"/>
      <c r="H564" s="1705"/>
      <c r="I564" s="1705"/>
      <c r="J564" s="1705"/>
      <c r="K564" s="1705"/>
      <c r="L564" s="1705"/>
      <c r="M564" s="1706" t="s">
        <v>1291</v>
      </c>
      <c r="N564" s="1706"/>
      <c r="O564" s="1706"/>
      <c r="P564" s="1706"/>
      <c r="Q564" s="1468"/>
      <c r="R564" s="1469"/>
      <c r="S564" s="1470"/>
      <c r="T564" s="1468"/>
      <c r="U564" s="1469"/>
      <c r="V564" s="1470"/>
      <c r="W564" s="1471"/>
      <c r="X564" s="1472"/>
      <c r="Y564" s="1473"/>
      <c r="Z564" s="1641" t="s">
        <v>1291</v>
      </c>
      <c r="AA564" s="1641"/>
      <c r="AB564" s="1641"/>
      <c r="AC564" s="1641"/>
      <c r="AD564" s="1641"/>
      <c r="AE564" s="1767"/>
      <c r="AF564" s="1768"/>
      <c r="AG564" s="1768"/>
      <c r="AH564" s="1769"/>
      <c r="AI564" s="1718"/>
      <c r="AJ564" s="1719"/>
      <c r="AK564" s="1719"/>
      <c r="AL564" s="1720"/>
      <c r="AM564" s="1695"/>
      <c r="AN564" s="1696"/>
      <c r="AO564" s="1696"/>
      <c r="AP564" s="1696"/>
      <c r="AQ564" s="1696"/>
      <c r="AR564" s="1696"/>
      <c r="AS564" s="169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705"/>
      <c r="D565" s="1705"/>
      <c r="E565" s="1705"/>
      <c r="F565" s="1705"/>
      <c r="G565" s="1705"/>
      <c r="H565" s="1705"/>
      <c r="I565" s="1705"/>
      <c r="J565" s="1705"/>
      <c r="K565" s="1705"/>
      <c r="L565" s="1705"/>
      <c r="M565" s="1706" t="s">
        <v>1291</v>
      </c>
      <c r="N565" s="1706"/>
      <c r="O565" s="1706"/>
      <c r="P565" s="1706"/>
      <c r="Q565" s="1468"/>
      <c r="R565" s="1469"/>
      <c r="S565" s="1470"/>
      <c r="T565" s="1468"/>
      <c r="U565" s="1469"/>
      <c r="V565" s="1470"/>
      <c r="W565" s="1471"/>
      <c r="X565" s="1472"/>
      <c r="Y565" s="1473"/>
      <c r="Z565" s="1641" t="s">
        <v>1291</v>
      </c>
      <c r="AA565" s="1641"/>
      <c r="AB565" s="1641"/>
      <c r="AC565" s="1641"/>
      <c r="AD565" s="1641"/>
      <c r="AE565" s="1767"/>
      <c r="AF565" s="1768"/>
      <c r="AG565" s="1768"/>
      <c r="AH565" s="1769"/>
      <c r="AI565" s="1718"/>
      <c r="AJ565" s="1719"/>
      <c r="AK565" s="1719"/>
      <c r="AL565" s="1720"/>
      <c r="AM565" s="1695"/>
      <c r="AN565" s="1696"/>
      <c r="AO565" s="1696"/>
      <c r="AP565" s="1696"/>
      <c r="AQ565" s="1696"/>
      <c r="AR565" s="1696"/>
      <c r="AS565" s="169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453" t="s">
        <v>127</v>
      </c>
      <c r="C566" s="1454"/>
      <c r="D566" s="1454"/>
      <c r="E566" s="1454"/>
      <c r="F566" s="1454"/>
      <c r="G566" s="1454"/>
      <c r="H566" s="1454"/>
      <c r="I566" s="1454"/>
      <c r="J566" s="1454"/>
      <c r="K566" s="1454"/>
      <c r="L566" s="1454"/>
      <c r="M566" s="1454"/>
      <c r="N566" s="1454"/>
      <c r="O566" s="1454"/>
      <c r="P566" s="1454"/>
      <c r="Q566" s="1454"/>
      <c r="R566" s="1454"/>
      <c r="S566" s="1454"/>
      <c r="T566" s="1454"/>
      <c r="U566" s="1457"/>
      <c r="V566" s="1454"/>
      <c r="W566" s="1454"/>
      <c r="X566" s="1454"/>
      <c r="Y566" s="1454"/>
      <c r="Z566" s="1454"/>
      <c r="AA566" s="1454"/>
      <c r="AB566" s="1454"/>
      <c r="AC566" s="1454"/>
      <c r="AD566" s="1454"/>
      <c r="AE566" s="1454"/>
      <c r="AF566" s="1454"/>
      <c r="AG566" s="1454"/>
      <c r="AH566" s="1454"/>
      <c r="AI566" s="1454"/>
      <c r="AJ566" s="1454"/>
      <c r="AK566" s="1454"/>
      <c r="AL566" s="1455"/>
      <c r="AM566" s="1654">
        <f>SUM(AM554:AS565)</f>
        <v>75174582.090901241</v>
      </c>
      <c r="AN566" s="1655"/>
      <c r="AO566" s="1655"/>
      <c r="AP566" s="1655"/>
      <c r="AQ566" s="1655"/>
      <c r="AR566" s="1655"/>
      <c r="AS566" s="165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459" t="str">
        <f>C554</f>
        <v>Citi Bank - Tax Exempt Construction Loan</v>
      </c>
      <c r="H568" s="1459"/>
      <c r="I568" s="1459"/>
      <c r="J568" s="1459"/>
      <c r="K568" s="1459"/>
      <c r="L568" s="1459"/>
      <c r="M568" s="1459"/>
      <c r="N568" s="1459"/>
      <c r="O568" s="1459"/>
      <c r="P568" s="1459"/>
      <c r="Q568" s="1459"/>
      <c r="R568" s="1459"/>
      <c r="S568" s="8"/>
      <c r="T568" s="55" t="s">
        <v>113</v>
      </c>
      <c r="U568" t="s">
        <v>472</v>
      </c>
      <c r="Z568" s="1459" t="str">
        <f>C555</f>
        <v>Citi Bank - Taxable Construction Loan</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380" t="str">
        <f>G644</f>
        <v xml:space="preserve">300 South Grand Avenue </v>
      </c>
      <c r="H569" s="1380"/>
      <c r="I569" s="1380"/>
      <c r="J569" s="1380"/>
      <c r="K569" s="1380"/>
      <c r="L569" s="1380"/>
      <c r="M569" s="1380"/>
      <c r="N569" s="1380"/>
      <c r="O569" s="1380"/>
      <c r="P569" s="1380"/>
      <c r="Q569" s="1380"/>
      <c r="R569" s="1380"/>
      <c r="S569" s="8"/>
      <c r="T569" s="22"/>
      <c r="U569" t="s">
        <v>85</v>
      </c>
      <c r="Z569" s="1380" t="str">
        <f>G569</f>
        <v xml:space="preserve">300 South Grand Avenue </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380" t="str">
        <f>G645</f>
        <v xml:space="preserve">Los Angeles </v>
      </c>
      <c r="H570" s="1380"/>
      <c r="I570" s="1380"/>
      <c r="J570" s="1380"/>
      <c r="K570" s="1380"/>
      <c r="L570" s="1380"/>
      <c r="M570" s="1380"/>
      <c r="N570" s="1380"/>
      <c r="O570" s="1380"/>
      <c r="P570" s="1380"/>
      <c r="Q570" s="1380"/>
      <c r="R570" s="1380"/>
      <c r="T570" s="22"/>
      <c r="U570" t="s">
        <v>589</v>
      </c>
      <c r="Z570" s="1433" t="str">
        <f>G570</f>
        <v xml:space="preserve">Los Angeles </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380" t="str">
        <f>G646</f>
        <v>Hao Li</v>
      </c>
      <c r="H571" s="1380"/>
      <c r="I571" s="1380"/>
      <c r="J571" s="1380"/>
      <c r="K571" s="1380"/>
      <c r="L571" s="1380"/>
      <c r="M571" s="1380"/>
      <c r="N571" s="1380"/>
      <c r="O571" s="1380"/>
      <c r="P571" s="1380"/>
      <c r="Q571" s="1380"/>
      <c r="R571" s="1380"/>
      <c r="S571" s="8"/>
      <c r="T571" s="22"/>
      <c r="U571" t="s">
        <v>17</v>
      </c>
      <c r="Z571" s="1433" t="str">
        <f>G571</f>
        <v>Hao Li</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390" t="str">
        <f>G647</f>
        <v xml:space="preserve">213-239-1914 </v>
      </c>
      <c r="H572" s="1390"/>
      <c r="I572" s="1390"/>
      <c r="J572" s="1390"/>
      <c r="K572" s="1390"/>
      <c r="L572" s="1390"/>
      <c r="O572" s="33" t="s">
        <v>207</v>
      </c>
      <c r="P572" s="1445"/>
      <c r="Q572" s="1445"/>
      <c r="R572" s="1445"/>
      <c r="S572" s="10"/>
      <c r="T572" s="22"/>
      <c r="U572" t="s">
        <v>317</v>
      </c>
      <c r="Z572" s="1390" t="str">
        <f>G572</f>
        <v xml:space="preserve">213-239-1914 </v>
      </c>
      <c r="AA572" s="1390"/>
      <c r="AB572" s="1390"/>
      <c r="AC572" s="1390"/>
      <c r="AD572" s="1390"/>
      <c r="AE572" s="1390"/>
      <c r="AH572" s="33" t="s">
        <v>207</v>
      </c>
      <c r="AI572" s="1445"/>
      <c r="AJ572" s="1445"/>
      <c r="AK572" s="144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380" t="s">
        <v>2786</v>
      </c>
      <c r="I573" s="1380"/>
      <c r="J573" s="1380"/>
      <c r="K573" s="1380"/>
      <c r="L573" s="1380"/>
      <c r="M573" s="1380"/>
      <c r="N573" s="1380"/>
      <c r="O573" s="1380"/>
      <c r="P573" s="1380"/>
      <c r="Q573" s="1380"/>
      <c r="R573" s="1380"/>
      <c r="S573" s="8"/>
      <c r="T573" s="22"/>
      <c r="U573" t="s">
        <v>18</v>
      </c>
      <c r="AA573" s="1380" t="str">
        <f>H573</f>
        <v xml:space="preserve">Permanent  </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723"/>
      <c r="N574" s="1723"/>
      <c r="O574" s="1723"/>
      <c r="P574" s="1723"/>
      <c r="Q574" s="1723"/>
      <c r="R574" s="1723"/>
      <c r="S574" s="8"/>
      <c r="T574" s="22"/>
      <c r="U574" s="348" t="s">
        <v>1292</v>
      </c>
      <c r="AA574" s="8"/>
      <c r="AB574" s="8"/>
      <c r="AC574" s="8"/>
      <c r="AD574" s="8"/>
      <c r="AE574" s="8"/>
      <c r="AF574" s="1723"/>
      <c r="AG574" s="1723"/>
      <c r="AH574" s="1723"/>
      <c r="AI574" s="1723"/>
      <c r="AJ574" s="1723"/>
      <c r="AK574" s="172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379" t="s">
        <v>678</v>
      </c>
      <c r="O575" s="1379"/>
      <c r="T575" s="22"/>
      <c r="U575" t="s">
        <v>20</v>
      </c>
      <c r="AG575" s="1379" t="s">
        <v>678</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459" t="str">
        <f>C556</f>
        <v>City of Berkeley Measure O</v>
      </c>
      <c r="H577" s="1459"/>
      <c r="I577" s="1459"/>
      <c r="J577" s="1459"/>
      <c r="K577" s="1459"/>
      <c r="L577" s="1459"/>
      <c r="M577" s="1459"/>
      <c r="N577" s="1459"/>
      <c r="O577" s="1459"/>
      <c r="P577" s="1459"/>
      <c r="Q577" s="1459"/>
      <c r="R577" s="1459"/>
      <c r="T577" s="55" t="s">
        <v>590</v>
      </c>
      <c r="U577" t="s">
        <v>472</v>
      </c>
      <c r="Z577" s="1459" t="str">
        <f>C557</f>
        <v>City of Berkeley HTF</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380" t="str">
        <f>Z644</f>
        <v xml:space="preserve">2180 Milvia Street </v>
      </c>
      <c r="H578" s="1380"/>
      <c r="I578" s="1380"/>
      <c r="J578" s="1380"/>
      <c r="K578" s="1380"/>
      <c r="L578" s="1380"/>
      <c r="M578" s="1380"/>
      <c r="N578" s="1380"/>
      <c r="O578" s="1380"/>
      <c r="P578" s="1380"/>
      <c r="Q578" s="1380"/>
      <c r="R578" s="1380"/>
      <c r="T578" s="22"/>
      <c r="U578" t="s">
        <v>85</v>
      </c>
      <c r="Z578" s="1380" t="str">
        <f>G578</f>
        <v xml:space="preserve">2180 Milvia Street </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33" t="str">
        <f>Z645</f>
        <v>Berkeley</v>
      </c>
      <c r="H579" s="1433"/>
      <c r="I579" s="1433"/>
      <c r="J579" s="1433"/>
      <c r="K579" s="1433"/>
      <c r="L579" s="1433"/>
      <c r="M579" s="1433"/>
      <c r="N579" s="1433"/>
      <c r="O579" s="1433"/>
      <c r="P579" s="1433"/>
      <c r="Q579" s="1433"/>
      <c r="R579" s="1433"/>
      <c r="T579" s="22"/>
      <c r="U579" t="s">
        <v>589</v>
      </c>
      <c r="Z579" s="1433" t="str">
        <f>G579</f>
        <v>Berkeley</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33" t="str">
        <f>Z646</f>
        <v xml:space="preserve">Asavari Devadiga </v>
      </c>
      <c r="H580" s="1433"/>
      <c r="I580" s="1433"/>
      <c r="J580" s="1433"/>
      <c r="K580" s="1433"/>
      <c r="L580" s="1433"/>
      <c r="M580" s="1433"/>
      <c r="N580" s="1433"/>
      <c r="O580" s="1433"/>
      <c r="P580" s="1433"/>
      <c r="Q580" s="1433"/>
      <c r="R580" s="1433"/>
      <c r="T580" s="22"/>
      <c r="U580" t="s">
        <v>17</v>
      </c>
      <c r="Z580" s="1433" t="str">
        <f>G580</f>
        <v xml:space="preserve">Asavari Devadiga </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390" t="str">
        <f>Z647</f>
        <v>(510) 981-5400</v>
      </c>
      <c r="H581" s="1390"/>
      <c r="I581" s="1390"/>
      <c r="J581" s="1390"/>
      <c r="K581" s="1390"/>
      <c r="L581" s="1390"/>
      <c r="O581" s="33" t="s">
        <v>207</v>
      </c>
      <c r="P581" s="1445"/>
      <c r="Q581" s="1445"/>
      <c r="R581" s="1445"/>
      <c r="T581" s="22"/>
      <c r="U581" t="s">
        <v>317</v>
      </c>
      <c r="Z581" s="1390" t="str">
        <f>G581</f>
        <v>(510) 981-5400</v>
      </c>
      <c r="AA581" s="1390"/>
      <c r="AB581" s="1390"/>
      <c r="AC581" s="1390"/>
      <c r="AD581" s="1390"/>
      <c r="AE581" s="1390"/>
      <c r="AH581" s="33" t="s">
        <v>207</v>
      </c>
      <c r="AI581" s="1445"/>
      <c r="AJ581" s="1445"/>
      <c r="AK581" s="144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380"/>
      <c r="I582" s="1380"/>
      <c r="J582" s="1380"/>
      <c r="K582" s="1380"/>
      <c r="L582" s="1380"/>
      <c r="M582" s="1380"/>
      <c r="N582" s="1380"/>
      <c r="O582" s="1380"/>
      <c r="P582" s="1380"/>
      <c r="Q582" s="1380"/>
      <c r="R582" s="1380"/>
      <c r="T582" s="22"/>
      <c r="U582" t="s">
        <v>18</v>
      </c>
      <c r="AA582" s="1380"/>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379" t="s">
        <v>678</v>
      </c>
      <c r="O583" s="1379"/>
      <c r="T583" s="22"/>
      <c r="U583" t="s">
        <v>20</v>
      </c>
      <c r="AG583" s="1379" t="s">
        <v>678</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459" t="str">
        <f>C558</f>
        <v xml:space="preserve">GP Equity </v>
      </c>
      <c r="H585" s="1459"/>
      <c r="I585" s="1459"/>
      <c r="J585" s="1459"/>
      <c r="K585" s="1459"/>
      <c r="L585" s="1459"/>
      <c r="M585" s="1459"/>
      <c r="N585" s="1459"/>
      <c r="O585" s="1459"/>
      <c r="P585" s="1459"/>
      <c r="Q585" s="1459"/>
      <c r="R585" s="1459"/>
      <c r="T585" s="55" t="s">
        <v>593</v>
      </c>
      <c r="U585" t="s">
        <v>472</v>
      </c>
      <c r="Z585" s="1459" t="str">
        <f>C559</f>
        <v>Deferred Developer Fee</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380" t="s">
        <v>2654</v>
      </c>
      <c r="H586" s="1380"/>
      <c r="I586" s="1380"/>
      <c r="J586" s="1380"/>
      <c r="K586" s="1380"/>
      <c r="L586" s="1380"/>
      <c r="M586" s="1380"/>
      <c r="N586" s="1380"/>
      <c r="O586" s="1380"/>
      <c r="P586" s="1380"/>
      <c r="Q586" s="1380"/>
      <c r="R586" s="1380"/>
      <c r="T586" s="22"/>
      <c r="U586" t="s">
        <v>85</v>
      </c>
      <c r="Z586" s="1380" t="str">
        <f>G660</f>
        <v xml:space="preserve">1535 Fred Jackson Way </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380" t="s">
        <v>2787</v>
      </c>
      <c r="H587" s="1380"/>
      <c r="I587" s="1380"/>
      <c r="J587" s="1380"/>
      <c r="K587" s="1380"/>
      <c r="L587" s="1380"/>
      <c r="M587" s="1380"/>
      <c r="N587" s="1380"/>
      <c r="O587" s="1380"/>
      <c r="P587" s="1380"/>
      <c r="Q587" s="1380"/>
      <c r="R587" s="1380"/>
      <c r="T587" s="22"/>
      <c r="U587" t="s">
        <v>589</v>
      </c>
      <c r="Z587" s="1433" t="str">
        <f>G661</f>
        <v xml:space="preserve">Richmond </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380" t="s">
        <v>2664</v>
      </c>
      <c r="H588" s="1380"/>
      <c r="I588" s="1380"/>
      <c r="J588" s="1380"/>
      <c r="K588" s="1380"/>
      <c r="L588" s="1380"/>
      <c r="M588" s="1380"/>
      <c r="N588" s="1380"/>
      <c r="O588" s="1380"/>
      <c r="P588" s="1380"/>
      <c r="Q588" s="1380"/>
      <c r="R588" s="1380"/>
      <c r="T588" s="22"/>
      <c r="U588" t="s">
        <v>17</v>
      </c>
      <c r="Z588" s="1433" t="str">
        <f>G662</f>
        <v xml:space="preserve">Donald Gilmore </v>
      </c>
      <c r="AA588" s="1433"/>
      <c r="AB588" s="1433"/>
      <c r="AC588" s="1433"/>
      <c r="AD588" s="1433"/>
      <c r="AE588" s="1433"/>
      <c r="AF588" s="1433"/>
      <c r="AG588" s="1433"/>
      <c r="AH588" s="1433"/>
      <c r="AI588" s="1433"/>
      <c r="AJ588" s="1433"/>
      <c r="AK588" s="1433"/>
    </row>
    <row r="589" spans="1:110" ht="12.9" customHeight="1">
      <c r="A589" s="22"/>
      <c r="B589" t="s">
        <v>317</v>
      </c>
      <c r="G589" s="1449" t="s">
        <v>2788</v>
      </c>
      <c r="H589" s="1390"/>
      <c r="I589" s="1390"/>
      <c r="J589" s="1390"/>
      <c r="K589" s="1390"/>
      <c r="L589" s="1390"/>
      <c r="O589" s="33" t="s">
        <v>207</v>
      </c>
      <c r="P589" s="1445"/>
      <c r="Q589" s="1445"/>
      <c r="R589" s="1445"/>
      <c r="T589" s="22"/>
      <c r="U589" t="s">
        <v>317</v>
      </c>
      <c r="Z589" s="1390" t="str">
        <f>G663</f>
        <v>(510) 412-9290</v>
      </c>
      <c r="AA589" s="1390"/>
      <c r="AB589" s="1390"/>
      <c r="AC589" s="1390"/>
      <c r="AD589" s="1390"/>
      <c r="AE589" s="1390"/>
      <c r="AH589" s="33" t="s">
        <v>207</v>
      </c>
      <c r="AI589" s="1445"/>
      <c r="AJ589" s="1445"/>
      <c r="AK589" s="144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380"/>
      <c r="I590" s="1380"/>
      <c r="J590" s="1380"/>
      <c r="K590" s="1380"/>
      <c r="L590" s="1380"/>
      <c r="M590" s="1380"/>
      <c r="N590" s="1380"/>
      <c r="O590" s="1380"/>
      <c r="P590" s="1380"/>
      <c r="Q590" s="1380"/>
      <c r="R590" s="1380"/>
      <c r="T590" s="22"/>
      <c r="U590" t="s">
        <v>18</v>
      </c>
      <c r="AA590" s="1380"/>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379" t="s">
        <v>678</v>
      </c>
      <c r="O591" s="1379"/>
      <c r="T591" s="22"/>
      <c r="U591" t="s">
        <v>20</v>
      </c>
      <c r="AG591" s="1379" t="s">
        <v>678</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459" t="str">
        <f>C560</f>
        <v xml:space="preserve">GP Equity </v>
      </c>
      <c r="H593" s="1459"/>
      <c r="I593" s="1459"/>
      <c r="J593" s="1459"/>
      <c r="K593" s="1459"/>
      <c r="L593" s="1459"/>
      <c r="M593" s="1459"/>
      <c r="N593" s="1459"/>
      <c r="O593" s="1459"/>
      <c r="P593" s="1459"/>
      <c r="Q593" s="1459"/>
      <c r="R593" s="1459"/>
      <c r="T593" s="55" t="s">
        <v>465</v>
      </c>
      <c r="U593" t="s">
        <v>472</v>
      </c>
      <c r="Z593" s="1459" t="str">
        <f>C561</f>
        <v>Investor Capital Contribution</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380" t="s">
        <v>2654</v>
      </c>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380" t="s">
        <v>2787</v>
      </c>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380" t="s">
        <v>2664</v>
      </c>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1"/>
      <c r="BH596" s="1503"/>
      <c r="BI596" s="121" t="s">
        <v>484</v>
      </c>
      <c r="BJ596" s="122"/>
      <c r="BK596" s="1501"/>
      <c r="BL596" s="1503"/>
      <c r="BM596" s="3"/>
      <c r="BN596" s="1416" t="s">
        <v>642</v>
      </c>
      <c r="BO596" s="1417"/>
      <c r="BP596" s="1417"/>
      <c r="BQ596" s="1417"/>
      <c r="BR596" s="1418"/>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2.9" customHeight="1">
      <c r="A597" s="22"/>
      <c r="B597" t="s">
        <v>317</v>
      </c>
      <c r="C597"/>
      <c r="D597"/>
      <c r="E597"/>
      <c r="F597"/>
      <c r="G597" s="1449" t="s">
        <v>2788</v>
      </c>
      <c r="H597" s="1390"/>
      <c r="I597" s="1390"/>
      <c r="J597" s="1390"/>
      <c r="K597" s="1390"/>
      <c r="L597" s="1390"/>
      <c r="M597"/>
      <c r="N597"/>
      <c r="O597" s="33" t="s">
        <v>207</v>
      </c>
      <c r="P597" s="1445"/>
      <c r="Q597" s="1445"/>
      <c r="R597" s="1445"/>
      <c r="S597"/>
      <c r="T597" s="22"/>
      <c r="U597" t="s">
        <v>317</v>
      </c>
      <c r="V597"/>
      <c r="W597"/>
      <c r="X597"/>
      <c r="Y597"/>
      <c r="Z597" s="1390"/>
      <c r="AA597" s="1390"/>
      <c r="AB597" s="1390"/>
      <c r="AC597" s="1390"/>
      <c r="AD597" s="1390"/>
      <c r="AE597" s="1390"/>
      <c r="AF597"/>
      <c r="AG597"/>
      <c r="AH597" s="33" t="s">
        <v>207</v>
      </c>
      <c r="AI597" s="1445"/>
      <c r="AJ597" s="1445"/>
      <c r="AK597" s="1445"/>
      <c r="AL597"/>
      <c r="AM597"/>
      <c r="AN597"/>
      <c r="AO597"/>
      <c r="AP597"/>
      <c r="AQ597"/>
      <c r="AR597"/>
      <c r="AS597"/>
      <c r="AT597"/>
      <c r="AU597"/>
      <c r="AV597"/>
      <c r="AW597"/>
      <c r="AX597"/>
      <c r="AY597"/>
      <c r="BA597" s="4" t="s">
        <v>326</v>
      </c>
      <c r="BB597" s="3"/>
      <c r="BC597" s="3"/>
      <c r="BD597" s="3"/>
      <c r="BE597" s="1492">
        <f t="shared" ref="BE597:BE631" si="1">IF(AND(AC718&lt;=0.5,AC718&gt;=0.36),1,0)</f>
        <v>0</v>
      </c>
      <c r="BF597" s="1494"/>
      <c r="BG597" s="1501">
        <f t="shared" ref="BG597:BG631" si="2">IF(BE597=1,G718,0)</f>
        <v>0</v>
      </c>
      <c r="BH597" s="1503"/>
      <c r="BI597" s="1492">
        <f t="shared" ref="BI597:BI631" si="3">IF(AND(AC718&lt;=0.35,AC718&gt;0),1,0)</f>
        <v>1</v>
      </c>
      <c r="BJ597" s="1494"/>
      <c r="BK597" s="1501">
        <f t="shared" ref="BK597:BK631" si="4">IF(BI597=1,G718,0)</f>
        <v>21</v>
      </c>
      <c r="BL597" s="1503"/>
      <c r="BM597" s="3"/>
      <c r="BN597" s="1488">
        <f t="shared" ref="BN597:BN631" si="5">IF(B718="SRO/Studio",G718,0)</f>
        <v>0</v>
      </c>
      <c r="BO597" s="1489"/>
      <c r="BP597" s="1489"/>
      <c r="BQ597" s="1489"/>
      <c r="BR597" s="1490"/>
      <c r="BS597" s="1495">
        <f t="shared" ref="BS597:BS631" si="6">IF(B718="1 Bedroom",G718,0)</f>
        <v>21</v>
      </c>
      <c r="BT597" s="1495"/>
      <c r="BU597" s="1495"/>
      <c r="BV597" s="1495"/>
      <c r="BW597" s="1495"/>
      <c r="BX597" s="1495">
        <f t="shared" ref="BX597:BX631" si="7">IF(B718="2 Bedrooms",G718,0)</f>
        <v>0</v>
      </c>
      <c r="BY597" s="1495"/>
      <c r="BZ597" s="1495"/>
      <c r="CA597" s="1495"/>
      <c r="CB597" s="1495"/>
      <c r="CC597" s="1495">
        <f t="shared" ref="CC597:CC631" si="8">IF(B718="3 Bedrooms",G718,0)</f>
        <v>0</v>
      </c>
      <c r="CD597" s="1495"/>
      <c r="CE597" s="1495"/>
      <c r="CF597" s="1495"/>
      <c r="CG597" s="1495"/>
      <c r="CH597" s="1495">
        <f t="shared" ref="CH597:CH631" si="9">IF(B718="4 Bedrooms",G718,0)</f>
        <v>0</v>
      </c>
      <c r="CI597" s="1495"/>
      <c r="CJ597" s="1495"/>
      <c r="CK597" s="1495"/>
      <c r="CL597" s="1495"/>
      <c r="CM597" s="1495">
        <f t="shared" ref="CM597:CM631" si="10">IF(B718="5 Bedrooms",G718,0)</f>
        <v>0</v>
      </c>
      <c r="CN597" s="1495"/>
      <c r="CO597" s="1495"/>
      <c r="CP597" s="1495"/>
      <c r="CQ597" s="1495"/>
      <c r="CR597" s="6"/>
      <c r="CS597" s="1500">
        <f t="shared" ref="CS597:CS631" si="11">IF(AND(B718="SRO/Studio",AC718&lt;=0.3),G718,0)</f>
        <v>0</v>
      </c>
      <c r="CT597" s="1500"/>
      <c r="CU597" s="1500"/>
      <c r="CV597" s="1500"/>
      <c r="CW597" s="1500"/>
      <c r="CX597" s="1500">
        <f t="shared" ref="CX597:CX631" si="12">IF(AND(B718="1 Bedroom",AC718&lt;=0.3),G718,0)</f>
        <v>21</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92" t="str">
        <f t="shared" ref="DX597:DX631" si="17">IF(BN597&gt;0,O718,"")</f>
        <v/>
      </c>
      <c r="DY597" s="1493"/>
      <c r="DZ597" s="1493"/>
      <c r="EA597" s="1493"/>
      <c r="EB597" s="1494"/>
      <c r="EC597" s="1492">
        <f t="shared" ref="EC597:EC631" si="18">IF(BS597&gt;0,O718,"")</f>
        <v>743</v>
      </c>
      <c r="ED597" s="1493"/>
      <c r="EE597" s="1493"/>
      <c r="EF597" s="1493"/>
      <c r="EG597" s="1494"/>
      <c r="EH597" s="1492" t="str">
        <f t="shared" ref="EH597:EH631" si="19">IF(BX597&gt;0,O718,"")</f>
        <v/>
      </c>
      <c r="EI597" s="1493"/>
      <c r="EJ597" s="1493"/>
      <c r="EK597" s="1493"/>
      <c r="EL597" s="1494"/>
      <c r="EM597" s="1492" t="str">
        <f t="shared" ref="EM597:EM631" si="20">IF(CC597&gt;0,O718,"")</f>
        <v/>
      </c>
      <c r="EN597" s="1493"/>
      <c r="EO597" s="1493"/>
      <c r="EP597" s="1493"/>
      <c r="EQ597" s="1494"/>
      <c r="ER597" s="1492" t="str">
        <f t="shared" ref="ER597:ER631" si="21">IF(CH597&gt;0,O718,"")</f>
        <v/>
      </c>
      <c r="ES597" s="1493"/>
      <c r="ET597" s="1493"/>
      <c r="EU597" s="1493"/>
      <c r="EV597" s="1494"/>
      <c r="EW597" s="1492" t="str">
        <f t="shared" ref="EW597:EW631" si="22">IF(CM597&gt;0,O718,"")</f>
        <v/>
      </c>
      <c r="EX597" s="1493"/>
      <c r="EY597" s="1493"/>
      <c r="EZ597" s="1493"/>
      <c r="FA597" s="1494"/>
    </row>
    <row r="598" spans="1:157" s="4" customFormat="1" ht="12.9"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2">
        <f t="shared" si="1"/>
        <v>1</v>
      </c>
      <c r="BF598" s="1494"/>
      <c r="BG598" s="1501">
        <f t="shared" si="2"/>
        <v>8</v>
      </c>
      <c r="BH598" s="1503"/>
      <c r="BI598" s="1492">
        <f t="shared" si="3"/>
        <v>0</v>
      </c>
      <c r="BJ598" s="1494"/>
      <c r="BK598" s="1501">
        <f t="shared" si="4"/>
        <v>0</v>
      </c>
      <c r="BL598" s="1503"/>
      <c r="BM598" s="3"/>
      <c r="BN598" s="1488">
        <f t="shared" si="5"/>
        <v>0</v>
      </c>
      <c r="BO598" s="1489"/>
      <c r="BP598" s="1489"/>
      <c r="BQ598" s="1489"/>
      <c r="BR598" s="1490"/>
      <c r="BS598" s="1495">
        <f t="shared" si="6"/>
        <v>8</v>
      </c>
      <c r="BT598" s="1495"/>
      <c r="BU598" s="1495"/>
      <c r="BV598" s="1495"/>
      <c r="BW598" s="1495"/>
      <c r="BX598" s="1495">
        <f t="shared" si="7"/>
        <v>0</v>
      </c>
      <c r="BY598" s="1495"/>
      <c r="BZ598" s="1495"/>
      <c r="CA598" s="1495"/>
      <c r="CB598" s="1495"/>
      <c r="CC598" s="1495">
        <f t="shared" si="8"/>
        <v>0</v>
      </c>
      <c r="CD598" s="1495"/>
      <c r="CE598" s="1495"/>
      <c r="CF598" s="1495"/>
      <c r="CG598" s="1495"/>
      <c r="CH598" s="1495">
        <f t="shared" si="9"/>
        <v>0</v>
      </c>
      <c r="CI598" s="1495"/>
      <c r="CJ598" s="1495"/>
      <c r="CK598" s="1495"/>
      <c r="CL598" s="1495"/>
      <c r="CM598" s="1495">
        <f t="shared" si="10"/>
        <v>0</v>
      </c>
      <c r="CN598" s="1495"/>
      <c r="CO598" s="1495"/>
      <c r="CP598" s="1495"/>
      <c r="CQ598" s="1495"/>
      <c r="CR598" s="6"/>
      <c r="CS598" s="1500">
        <f t="shared" si="11"/>
        <v>0</v>
      </c>
      <c r="CT598" s="1500"/>
      <c r="CU598" s="1500"/>
      <c r="CV598" s="1500"/>
      <c r="CW598" s="1500"/>
      <c r="CX598" s="1500">
        <f t="shared" si="12"/>
        <v>0</v>
      </c>
      <c r="CY598" s="1500"/>
      <c r="CZ598" s="1500"/>
      <c r="DA598" s="1500"/>
      <c r="DB598" s="1500"/>
      <c r="DC598" s="1500">
        <f t="shared" si="13"/>
        <v>0</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92" t="str">
        <f t="shared" si="17"/>
        <v/>
      </c>
      <c r="DY598" s="1493"/>
      <c r="DZ598" s="1493"/>
      <c r="EA598" s="1493"/>
      <c r="EB598" s="1494"/>
      <c r="EC598" s="1492">
        <f t="shared" si="18"/>
        <v>1035</v>
      </c>
      <c r="ED598" s="1493"/>
      <c r="EE598" s="1493"/>
      <c r="EF598" s="1493"/>
      <c r="EG598" s="1494"/>
      <c r="EH598" s="1492" t="str">
        <f t="shared" si="19"/>
        <v/>
      </c>
      <c r="EI598" s="1493"/>
      <c r="EJ598" s="1493"/>
      <c r="EK598" s="1493"/>
      <c r="EL598" s="1494"/>
      <c r="EM598" s="1492" t="str">
        <f t="shared" si="20"/>
        <v/>
      </c>
      <c r="EN598" s="1493"/>
      <c r="EO598" s="1493"/>
      <c r="EP598" s="1493"/>
      <c r="EQ598" s="1494"/>
      <c r="ER598" s="1492" t="str">
        <f t="shared" si="21"/>
        <v/>
      </c>
      <c r="ES598" s="1493"/>
      <c r="ET598" s="1493"/>
      <c r="EU598" s="1493"/>
      <c r="EV598" s="1494"/>
      <c r="EW598" s="1492" t="str">
        <f t="shared" si="22"/>
        <v/>
      </c>
      <c r="EX598" s="1493"/>
      <c r="EY598" s="1493"/>
      <c r="EZ598" s="1493"/>
      <c r="FA598" s="1494"/>
    </row>
    <row r="599" spans="1:157" ht="12.9" customHeight="1">
      <c r="A599" s="22"/>
      <c r="B599" t="s">
        <v>20</v>
      </c>
      <c r="N599" s="1379" t="s">
        <v>678</v>
      </c>
      <c r="O599" s="1379"/>
      <c r="T599" s="22"/>
      <c r="U599" t="s">
        <v>20</v>
      </c>
      <c r="AG599" s="1379" t="s">
        <v>678</v>
      </c>
      <c r="AH599" s="1379"/>
      <c r="BA599" s="4" t="s">
        <v>164</v>
      </c>
      <c r="BB599" s="3"/>
      <c r="BC599" s="3"/>
      <c r="BD599" s="3"/>
      <c r="BE599" s="1492">
        <f t="shared" si="1"/>
        <v>1</v>
      </c>
      <c r="BF599" s="1494"/>
      <c r="BG599" s="1501">
        <f t="shared" si="2"/>
        <v>3</v>
      </c>
      <c r="BH599" s="1503"/>
      <c r="BI599" s="1492">
        <f t="shared" si="3"/>
        <v>0</v>
      </c>
      <c r="BJ599" s="1494"/>
      <c r="BK599" s="1501">
        <f t="shared" si="4"/>
        <v>0</v>
      </c>
      <c r="BL599" s="1503"/>
      <c r="BM599" s="3"/>
      <c r="BN599" s="1488">
        <f t="shared" si="5"/>
        <v>0</v>
      </c>
      <c r="BO599" s="1489"/>
      <c r="BP599" s="1489"/>
      <c r="BQ599" s="1489"/>
      <c r="BR599" s="1490"/>
      <c r="BS599" s="1495">
        <f t="shared" si="6"/>
        <v>3</v>
      </c>
      <c r="BT599" s="1495"/>
      <c r="BU599" s="1495"/>
      <c r="BV599" s="1495"/>
      <c r="BW599" s="1495"/>
      <c r="BX599" s="1495">
        <f t="shared" si="7"/>
        <v>0</v>
      </c>
      <c r="BY599" s="1495"/>
      <c r="BZ599" s="1495"/>
      <c r="CA599" s="1495"/>
      <c r="CB599" s="1495"/>
      <c r="CC599" s="1495">
        <f t="shared" si="8"/>
        <v>0</v>
      </c>
      <c r="CD599" s="1495"/>
      <c r="CE599" s="1495"/>
      <c r="CF599" s="1495"/>
      <c r="CG599" s="1495"/>
      <c r="CH599" s="1495">
        <f t="shared" si="9"/>
        <v>0</v>
      </c>
      <c r="CI599" s="1495"/>
      <c r="CJ599" s="1495"/>
      <c r="CK599" s="1495"/>
      <c r="CL599" s="1495"/>
      <c r="CM599" s="1495">
        <f t="shared" si="10"/>
        <v>0</v>
      </c>
      <c r="CN599" s="1495"/>
      <c r="CO599" s="1495"/>
      <c r="CP599" s="1495"/>
      <c r="CQ599" s="1495"/>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92" t="str">
        <f t="shared" si="17"/>
        <v/>
      </c>
      <c r="DY599" s="1493"/>
      <c r="DZ599" s="1493"/>
      <c r="EA599" s="1493"/>
      <c r="EB599" s="1494"/>
      <c r="EC599" s="1492">
        <f t="shared" si="18"/>
        <v>1327</v>
      </c>
      <c r="ED599" s="1493"/>
      <c r="EE599" s="1493"/>
      <c r="EF599" s="1493"/>
      <c r="EG599" s="1494"/>
      <c r="EH599" s="1492" t="str">
        <f t="shared" si="19"/>
        <v/>
      </c>
      <c r="EI599" s="1493"/>
      <c r="EJ599" s="1493"/>
      <c r="EK599" s="1493"/>
      <c r="EL599" s="1494"/>
      <c r="EM599" s="1492" t="str">
        <f t="shared" si="20"/>
        <v/>
      </c>
      <c r="EN599" s="1493"/>
      <c r="EO599" s="1493"/>
      <c r="EP599" s="1493"/>
      <c r="EQ599" s="1494"/>
      <c r="ER599" s="1492" t="str">
        <f t="shared" si="21"/>
        <v/>
      </c>
      <c r="ES599" s="1493"/>
      <c r="ET599" s="1493"/>
      <c r="EU599" s="1493"/>
      <c r="EV599" s="1494"/>
      <c r="EW599" s="1492" t="str">
        <f t="shared" si="22"/>
        <v/>
      </c>
      <c r="EX599" s="1493"/>
      <c r="EY599" s="1493"/>
      <c r="EZ599" s="1493"/>
      <c r="FA599" s="1494"/>
    </row>
    <row r="600" spans="1:157" ht="12.9" customHeight="1">
      <c r="A600" s="22"/>
      <c r="T600" s="22"/>
      <c r="BA600" s="4" t="s">
        <v>165</v>
      </c>
      <c r="BB600" s="3"/>
      <c r="BC600" s="3"/>
      <c r="BD600" s="3"/>
      <c r="BE600" s="1492">
        <f t="shared" si="1"/>
        <v>0</v>
      </c>
      <c r="BF600" s="1494"/>
      <c r="BG600" s="1501">
        <f t="shared" si="2"/>
        <v>0</v>
      </c>
      <c r="BH600" s="1503"/>
      <c r="BI600" s="1492">
        <f t="shared" si="3"/>
        <v>1</v>
      </c>
      <c r="BJ600" s="1494"/>
      <c r="BK600" s="1501">
        <f t="shared" si="4"/>
        <v>4</v>
      </c>
      <c r="BL600" s="1503"/>
      <c r="BM600" s="3"/>
      <c r="BN600" s="1488">
        <f t="shared" si="5"/>
        <v>0</v>
      </c>
      <c r="BO600" s="1489"/>
      <c r="BP600" s="1489"/>
      <c r="BQ600" s="1489"/>
      <c r="BR600" s="1490"/>
      <c r="BS600" s="1495">
        <f t="shared" si="6"/>
        <v>4</v>
      </c>
      <c r="BT600" s="1495"/>
      <c r="BU600" s="1495"/>
      <c r="BV600" s="1495"/>
      <c r="BW600" s="1495"/>
      <c r="BX600" s="1495">
        <f t="shared" si="7"/>
        <v>0</v>
      </c>
      <c r="BY600" s="1495"/>
      <c r="BZ600" s="1495"/>
      <c r="CA600" s="1495"/>
      <c r="CB600" s="1495"/>
      <c r="CC600" s="1495">
        <f t="shared" si="8"/>
        <v>0</v>
      </c>
      <c r="CD600" s="1495"/>
      <c r="CE600" s="1495"/>
      <c r="CF600" s="1495"/>
      <c r="CG600" s="1495"/>
      <c r="CH600" s="1495">
        <f t="shared" si="9"/>
        <v>0</v>
      </c>
      <c r="CI600" s="1495"/>
      <c r="CJ600" s="1495"/>
      <c r="CK600" s="1495"/>
      <c r="CL600" s="1495"/>
      <c r="CM600" s="1495">
        <f t="shared" si="10"/>
        <v>0</v>
      </c>
      <c r="CN600" s="1495"/>
      <c r="CO600" s="1495"/>
      <c r="CP600" s="1495"/>
      <c r="CQ600" s="1495"/>
      <c r="CR600" s="6"/>
      <c r="CS600" s="1500">
        <f t="shared" si="11"/>
        <v>0</v>
      </c>
      <c r="CT600" s="1500"/>
      <c r="CU600" s="1500"/>
      <c r="CV600" s="1500"/>
      <c r="CW600" s="1500"/>
      <c r="CX600" s="1500">
        <f t="shared" si="12"/>
        <v>4</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92" t="str">
        <f t="shared" si="17"/>
        <v/>
      </c>
      <c r="DY600" s="1493"/>
      <c r="DZ600" s="1493"/>
      <c r="EA600" s="1493"/>
      <c r="EB600" s="1494"/>
      <c r="EC600" s="1492">
        <f t="shared" si="18"/>
        <v>305</v>
      </c>
      <c r="ED600" s="1493"/>
      <c r="EE600" s="1493"/>
      <c r="EF600" s="1493"/>
      <c r="EG600" s="1494"/>
      <c r="EH600" s="1492" t="str">
        <f t="shared" si="19"/>
        <v/>
      </c>
      <c r="EI600" s="1493"/>
      <c r="EJ600" s="1493"/>
      <c r="EK600" s="1493"/>
      <c r="EL600" s="1494"/>
      <c r="EM600" s="1492" t="str">
        <f t="shared" si="20"/>
        <v/>
      </c>
      <c r="EN600" s="1493"/>
      <c r="EO600" s="1493"/>
      <c r="EP600" s="1493"/>
      <c r="EQ600" s="1494"/>
      <c r="ER600" s="1492" t="str">
        <f t="shared" si="21"/>
        <v/>
      </c>
      <c r="ES600" s="1493"/>
      <c r="ET600" s="1493"/>
      <c r="EU600" s="1493"/>
      <c r="EV600" s="1494"/>
      <c r="EW600" s="1492" t="str">
        <f t="shared" si="22"/>
        <v/>
      </c>
      <c r="EX600" s="1493"/>
      <c r="EY600" s="1493"/>
      <c r="EZ600" s="1493"/>
      <c r="FA600" s="1494"/>
    </row>
    <row r="601" spans="1:157" ht="12.9" customHeight="1">
      <c r="A601" s="55" t="s">
        <v>470</v>
      </c>
      <c r="B601" t="s">
        <v>472</v>
      </c>
      <c r="G601" s="1459" t="str">
        <f>C562</f>
        <v>Costs Deferred to Perm Conversion</v>
      </c>
      <c r="H601" s="1459"/>
      <c r="I601" s="1459"/>
      <c r="J601" s="1459"/>
      <c r="K601" s="1459"/>
      <c r="L601" s="1459"/>
      <c r="M601" s="1459"/>
      <c r="N601" s="1459"/>
      <c r="O601" s="1459"/>
      <c r="P601" s="1459"/>
      <c r="Q601" s="1459"/>
      <c r="R601" s="1459"/>
      <c r="T601" s="55" t="s">
        <v>655</v>
      </c>
      <c r="U601" t="s">
        <v>472</v>
      </c>
      <c r="Z601" s="1459">
        <f>C563</f>
        <v>0</v>
      </c>
      <c r="AA601" s="1459"/>
      <c r="AB601" s="1459"/>
      <c r="AC601" s="1459"/>
      <c r="AD601" s="1459"/>
      <c r="AE601" s="1459"/>
      <c r="AF601" s="1459"/>
      <c r="AG601" s="1459"/>
      <c r="AH601" s="1459"/>
      <c r="AI601" s="1459"/>
      <c r="AJ601" s="1459"/>
      <c r="AK601" s="1459"/>
      <c r="BA601" s="4" t="s">
        <v>30</v>
      </c>
      <c r="BB601" s="3"/>
      <c r="BC601" s="3"/>
      <c r="BD601" s="3"/>
      <c r="BE601" s="1492">
        <f t="shared" si="1"/>
        <v>1</v>
      </c>
      <c r="BF601" s="1494"/>
      <c r="BG601" s="1501">
        <f t="shared" si="2"/>
        <v>4</v>
      </c>
      <c r="BH601" s="1503"/>
      <c r="BI601" s="1492">
        <f t="shared" si="3"/>
        <v>0</v>
      </c>
      <c r="BJ601" s="1494"/>
      <c r="BK601" s="1501">
        <f t="shared" si="4"/>
        <v>0</v>
      </c>
      <c r="BL601" s="1503"/>
      <c r="BM601" s="3"/>
      <c r="BN601" s="1488">
        <f t="shared" si="5"/>
        <v>0</v>
      </c>
      <c r="BO601" s="1489"/>
      <c r="BP601" s="1489"/>
      <c r="BQ601" s="1489"/>
      <c r="BR601" s="1490"/>
      <c r="BS601" s="1495">
        <f t="shared" si="6"/>
        <v>4</v>
      </c>
      <c r="BT601" s="1495"/>
      <c r="BU601" s="1495"/>
      <c r="BV601" s="1495"/>
      <c r="BW601" s="1495"/>
      <c r="BX601" s="1495">
        <f t="shared" si="7"/>
        <v>0</v>
      </c>
      <c r="BY601" s="1495"/>
      <c r="BZ601" s="1495"/>
      <c r="CA601" s="1495"/>
      <c r="CB601" s="1495"/>
      <c r="CC601" s="1495">
        <f t="shared" si="8"/>
        <v>0</v>
      </c>
      <c r="CD601" s="1495"/>
      <c r="CE601" s="1495"/>
      <c r="CF601" s="1495"/>
      <c r="CG601" s="1495"/>
      <c r="CH601" s="1495">
        <f t="shared" si="9"/>
        <v>0</v>
      </c>
      <c r="CI601" s="1495"/>
      <c r="CJ601" s="1495"/>
      <c r="CK601" s="1495"/>
      <c r="CL601" s="1495"/>
      <c r="CM601" s="1495">
        <f t="shared" si="10"/>
        <v>0</v>
      </c>
      <c r="CN601" s="1495"/>
      <c r="CO601" s="1495"/>
      <c r="CP601" s="1495"/>
      <c r="CQ601" s="1495"/>
      <c r="CR601" s="6"/>
      <c r="CS601" s="1500">
        <f t="shared" si="11"/>
        <v>0</v>
      </c>
      <c r="CT601" s="1500"/>
      <c r="CU601" s="1500"/>
      <c r="CV601" s="1500"/>
      <c r="CW601" s="1500"/>
      <c r="CX601" s="1500">
        <f t="shared" si="12"/>
        <v>0</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92" t="str">
        <f t="shared" si="17"/>
        <v/>
      </c>
      <c r="DY601" s="1493"/>
      <c r="DZ601" s="1493"/>
      <c r="EA601" s="1493"/>
      <c r="EB601" s="1494"/>
      <c r="EC601" s="1492">
        <f t="shared" si="18"/>
        <v>1035</v>
      </c>
      <c r="ED601" s="1493"/>
      <c r="EE601" s="1493"/>
      <c r="EF601" s="1493"/>
      <c r="EG601" s="1494"/>
      <c r="EH601" s="1492" t="str">
        <f t="shared" si="19"/>
        <v/>
      </c>
      <c r="EI601" s="1493"/>
      <c r="EJ601" s="1493"/>
      <c r="EK601" s="1493"/>
      <c r="EL601" s="1494"/>
      <c r="EM601" s="1492" t="str">
        <f t="shared" si="20"/>
        <v/>
      </c>
      <c r="EN601" s="1493"/>
      <c r="EO601" s="1493"/>
      <c r="EP601" s="1493"/>
      <c r="EQ601" s="1494"/>
      <c r="ER601" s="1492" t="str">
        <f t="shared" si="21"/>
        <v/>
      </c>
      <c r="ES601" s="1493"/>
      <c r="ET601" s="1493"/>
      <c r="EU601" s="1493"/>
      <c r="EV601" s="1494"/>
      <c r="EW601" s="1492" t="str">
        <f t="shared" si="22"/>
        <v/>
      </c>
      <c r="EX601" s="1493"/>
      <c r="EY601" s="1493"/>
      <c r="EZ601" s="1493"/>
      <c r="FA601" s="1494"/>
    </row>
    <row r="602" spans="1:157" ht="12.9"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2">
        <f t="shared" si="1"/>
        <v>1</v>
      </c>
      <c r="BF602" s="1494"/>
      <c r="BG602" s="1501">
        <f t="shared" si="2"/>
        <v>39</v>
      </c>
      <c r="BH602" s="1503"/>
      <c r="BI602" s="1492">
        <f t="shared" si="3"/>
        <v>0</v>
      </c>
      <c r="BJ602" s="1494"/>
      <c r="BK602" s="1501">
        <f t="shared" si="4"/>
        <v>0</v>
      </c>
      <c r="BL602" s="1503"/>
      <c r="BM602" s="3"/>
      <c r="BN602" s="1488">
        <f t="shared" si="5"/>
        <v>0</v>
      </c>
      <c r="BO602" s="1489"/>
      <c r="BP602" s="1489"/>
      <c r="BQ602" s="1489"/>
      <c r="BR602" s="1490"/>
      <c r="BS602" s="1495">
        <f t="shared" si="6"/>
        <v>39</v>
      </c>
      <c r="BT602" s="1495"/>
      <c r="BU602" s="1495"/>
      <c r="BV602" s="1495"/>
      <c r="BW602" s="1495"/>
      <c r="BX602" s="1495">
        <f t="shared" si="7"/>
        <v>0</v>
      </c>
      <c r="BY602" s="1495"/>
      <c r="BZ602" s="1495"/>
      <c r="CA602" s="1495"/>
      <c r="CB602" s="1495"/>
      <c r="CC602" s="1495">
        <f t="shared" si="8"/>
        <v>0</v>
      </c>
      <c r="CD602" s="1495"/>
      <c r="CE602" s="1495"/>
      <c r="CF602" s="1495"/>
      <c r="CG602" s="1495"/>
      <c r="CH602" s="1495">
        <f t="shared" si="9"/>
        <v>0</v>
      </c>
      <c r="CI602" s="1495"/>
      <c r="CJ602" s="1495"/>
      <c r="CK602" s="1495"/>
      <c r="CL602" s="1495"/>
      <c r="CM602" s="1495">
        <f t="shared" si="10"/>
        <v>0</v>
      </c>
      <c r="CN602" s="1495"/>
      <c r="CO602" s="1495"/>
      <c r="CP602" s="1495"/>
      <c r="CQ602" s="1495"/>
      <c r="CR602" s="6"/>
      <c r="CS602" s="1500">
        <f t="shared" si="11"/>
        <v>0</v>
      </c>
      <c r="CT602" s="1500"/>
      <c r="CU602" s="1500"/>
      <c r="CV602" s="1500"/>
      <c r="CW602" s="1500"/>
      <c r="CX602" s="1500">
        <f t="shared" si="12"/>
        <v>0</v>
      </c>
      <c r="CY602" s="1500"/>
      <c r="CZ602" s="1500"/>
      <c r="DA602" s="1500"/>
      <c r="DB602" s="1500"/>
      <c r="DC602" s="1500">
        <f t="shared" si="13"/>
        <v>0</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92" t="str">
        <f t="shared" si="17"/>
        <v/>
      </c>
      <c r="DY602" s="1493"/>
      <c r="DZ602" s="1493"/>
      <c r="EA602" s="1493"/>
      <c r="EB602" s="1494"/>
      <c r="EC602" s="1492">
        <f t="shared" si="18"/>
        <v>1327</v>
      </c>
      <c r="ED602" s="1493"/>
      <c r="EE602" s="1493"/>
      <c r="EF602" s="1493"/>
      <c r="EG602" s="1494"/>
      <c r="EH602" s="1492" t="str">
        <f t="shared" si="19"/>
        <v/>
      </c>
      <c r="EI602" s="1493"/>
      <c r="EJ602" s="1493"/>
      <c r="EK602" s="1493"/>
      <c r="EL602" s="1494"/>
      <c r="EM602" s="1492" t="str">
        <f t="shared" si="20"/>
        <v/>
      </c>
      <c r="EN602" s="1493"/>
      <c r="EO602" s="1493"/>
      <c r="EP602" s="1493"/>
      <c r="EQ602" s="1494"/>
      <c r="ER602" s="1492" t="str">
        <f t="shared" si="21"/>
        <v/>
      </c>
      <c r="ES602" s="1493"/>
      <c r="ET602" s="1493"/>
      <c r="EU602" s="1493"/>
      <c r="EV602" s="1494"/>
      <c r="EW602" s="1492" t="str">
        <f t="shared" si="22"/>
        <v/>
      </c>
      <c r="EX602" s="1493"/>
      <c r="EY602" s="1493"/>
      <c r="EZ602" s="1493"/>
      <c r="FA602" s="1494"/>
    </row>
    <row r="603" spans="1:157" ht="12.9"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92">
        <f t="shared" si="1"/>
        <v>0</v>
      </c>
      <c r="BF603" s="1494"/>
      <c r="BG603" s="1501">
        <f t="shared" si="2"/>
        <v>0</v>
      </c>
      <c r="BH603" s="1503"/>
      <c r="BI603" s="1492">
        <f t="shared" si="3"/>
        <v>0</v>
      </c>
      <c r="BJ603" s="1494"/>
      <c r="BK603" s="1501">
        <f t="shared" si="4"/>
        <v>0</v>
      </c>
      <c r="BL603" s="1503"/>
      <c r="BM603" s="3"/>
      <c r="BN603" s="1488">
        <f t="shared" si="5"/>
        <v>0</v>
      </c>
      <c r="BO603" s="1489"/>
      <c r="BP603" s="1489"/>
      <c r="BQ603" s="1489"/>
      <c r="BR603" s="1490"/>
      <c r="BS603" s="1495">
        <f t="shared" si="6"/>
        <v>0</v>
      </c>
      <c r="BT603" s="1495"/>
      <c r="BU603" s="1495"/>
      <c r="BV603" s="1495"/>
      <c r="BW603" s="1495"/>
      <c r="BX603" s="1495">
        <f t="shared" si="7"/>
        <v>0</v>
      </c>
      <c r="BY603" s="1495"/>
      <c r="BZ603" s="1495"/>
      <c r="CA603" s="1495"/>
      <c r="CB603" s="1495"/>
      <c r="CC603" s="1495">
        <f t="shared" si="8"/>
        <v>0</v>
      </c>
      <c r="CD603" s="1495"/>
      <c r="CE603" s="1495"/>
      <c r="CF603" s="1495"/>
      <c r="CG603" s="1495"/>
      <c r="CH603" s="1495">
        <f t="shared" si="9"/>
        <v>0</v>
      </c>
      <c r="CI603" s="1495"/>
      <c r="CJ603" s="1495"/>
      <c r="CK603" s="1495"/>
      <c r="CL603" s="1495"/>
      <c r="CM603" s="1495">
        <f t="shared" si="10"/>
        <v>0</v>
      </c>
      <c r="CN603" s="1495"/>
      <c r="CO603" s="1495"/>
      <c r="CP603" s="1495"/>
      <c r="CQ603" s="1495"/>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92" t="str">
        <f t="shared" si="17"/>
        <v/>
      </c>
      <c r="DY603" s="1493"/>
      <c r="DZ603" s="1493"/>
      <c r="EA603" s="1493"/>
      <c r="EB603" s="1494"/>
      <c r="EC603" s="1492" t="str">
        <f t="shared" si="18"/>
        <v/>
      </c>
      <c r="ED603" s="1493"/>
      <c r="EE603" s="1493"/>
      <c r="EF603" s="1493"/>
      <c r="EG603" s="1494"/>
      <c r="EH603" s="1492" t="str">
        <f t="shared" si="19"/>
        <v/>
      </c>
      <c r="EI603" s="1493"/>
      <c r="EJ603" s="1493"/>
      <c r="EK603" s="1493"/>
      <c r="EL603" s="1494"/>
      <c r="EM603" s="1492" t="str">
        <f t="shared" si="20"/>
        <v/>
      </c>
      <c r="EN603" s="1493"/>
      <c r="EO603" s="1493"/>
      <c r="EP603" s="1493"/>
      <c r="EQ603" s="1494"/>
      <c r="ER603" s="1492" t="str">
        <f t="shared" si="21"/>
        <v/>
      </c>
      <c r="ES603" s="1493"/>
      <c r="ET603" s="1493"/>
      <c r="EU603" s="1493"/>
      <c r="EV603" s="1494"/>
      <c r="EW603" s="1492" t="str">
        <f t="shared" si="22"/>
        <v/>
      </c>
      <c r="EX603" s="1493"/>
      <c r="EY603" s="1493"/>
      <c r="EZ603" s="1493"/>
      <c r="FA603" s="1494"/>
    </row>
    <row r="604" spans="1:157" ht="12.9"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92">
        <f t="shared" si="1"/>
        <v>0</v>
      </c>
      <c r="BF604" s="1494"/>
      <c r="BG604" s="1501">
        <f t="shared" si="2"/>
        <v>0</v>
      </c>
      <c r="BH604" s="1503"/>
      <c r="BI604" s="1492">
        <f t="shared" si="3"/>
        <v>0</v>
      </c>
      <c r="BJ604" s="1494"/>
      <c r="BK604" s="1501">
        <f t="shared" si="4"/>
        <v>0</v>
      </c>
      <c r="BL604" s="1503"/>
      <c r="BM604" s="3"/>
      <c r="BN604" s="1488">
        <f t="shared" si="5"/>
        <v>0</v>
      </c>
      <c r="BO604" s="1489"/>
      <c r="BP604" s="1489"/>
      <c r="BQ604" s="1489"/>
      <c r="BR604" s="1490"/>
      <c r="BS604" s="1495">
        <f t="shared" si="6"/>
        <v>0</v>
      </c>
      <c r="BT604" s="1495"/>
      <c r="BU604" s="1495"/>
      <c r="BV604" s="1495"/>
      <c r="BW604" s="1495"/>
      <c r="BX604" s="1495">
        <f t="shared" si="7"/>
        <v>0</v>
      </c>
      <c r="BY604" s="1495"/>
      <c r="BZ604" s="1495"/>
      <c r="CA604" s="1495"/>
      <c r="CB604" s="1495"/>
      <c r="CC604" s="1495">
        <f t="shared" si="8"/>
        <v>0</v>
      </c>
      <c r="CD604" s="1495"/>
      <c r="CE604" s="1495"/>
      <c r="CF604" s="1495"/>
      <c r="CG604" s="1495"/>
      <c r="CH604" s="1495">
        <f t="shared" si="9"/>
        <v>0</v>
      </c>
      <c r="CI604" s="1495"/>
      <c r="CJ604" s="1495"/>
      <c r="CK604" s="1495"/>
      <c r="CL604" s="1495"/>
      <c r="CM604" s="1495">
        <f t="shared" si="10"/>
        <v>0</v>
      </c>
      <c r="CN604" s="1495"/>
      <c r="CO604" s="1495"/>
      <c r="CP604" s="1495"/>
      <c r="CQ604" s="1495"/>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92" t="str">
        <f t="shared" si="17"/>
        <v/>
      </c>
      <c r="DY604" s="1493"/>
      <c r="DZ604" s="1493"/>
      <c r="EA604" s="1493"/>
      <c r="EB604" s="1494"/>
      <c r="EC604" s="1492" t="str">
        <f t="shared" si="18"/>
        <v/>
      </c>
      <c r="ED604" s="1493"/>
      <c r="EE604" s="1493"/>
      <c r="EF604" s="1493"/>
      <c r="EG604" s="1494"/>
      <c r="EH604" s="1492" t="str">
        <f t="shared" si="19"/>
        <v/>
      </c>
      <c r="EI604" s="1493"/>
      <c r="EJ604" s="1493"/>
      <c r="EK604" s="1493"/>
      <c r="EL604" s="1494"/>
      <c r="EM604" s="1492" t="str">
        <f t="shared" si="20"/>
        <v/>
      </c>
      <c r="EN604" s="1493"/>
      <c r="EO604" s="1493"/>
      <c r="EP604" s="1493"/>
      <c r="EQ604" s="1494"/>
      <c r="ER604" s="1492" t="str">
        <f t="shared" si="21"/>
        <v/>
      </c>
      <c r="ES604" s="1493"/>
      <c r="ET604" s="1493"/>
      <c r="EU604" s="1493"/>
      <c r="EV604" s="1494"/>
      <c r="EW604" s="1492" t="str">
        <f t="shared" si="22"/>
        <v/>
      </c>
      <c r="EX604" s="1493"/>
      <c r="EY604" s="1493"/>
      <c r="EZ604" s="1493"/>
      <c r="FA604" s="1494"/>
    </row>
    <row r="605" spans="1:157" s="4" customFormat="1" ht="12.9" customHeight="1">
      <c r="A605" s="22"/>
      <c r="B605" t="s">
        <v>317</v>
      </c>
      <c r="C605"/>
      <c r="D605"/>
      <c r="E605"/>
      <c r="F605"/>
      <c r="G605" s="1390"/>
      <c r="H605" s="1390"/>
      <c r="I605" s="1390"/>
      <c r="J605" s="1390"/>
      <c r="K605" s="1390"/>
      <c r="L605" s="1390"/>
      <c r="M605"/>
      <c r="N605"/>
      <c r="O605" s="33" t="s">
        <v>207</v>
      </c>
      <c r="P605" s="1445"/>
      <c r="Q605" s="1445"/>
      <c r="R605" s="1445"/>
      <c r="S605"/>
      <c r="T605" s="22"/>
      <c r="U605" t="s">
        <v>317</v>
      </c>
      <c r="V605"/>
      <c r="W605"/>
      <c r="X605"/>
      <c r="Y605"/>
      <c r="Z605" s="1390"/>
      <c r="AA605" s="1390"/>
      <c r="AB605" s="1390"/>
      <c r="AC605" s="1390"/>
      <c r="AD605" s="1390"/>
      <c r="AE605" s="1390"/>
      <c r="AF605"/>
      <c r="AG605"/>
      <c r="AH605" s="33" t="s">
        <v>207</v>
      </c>
      <c r="AI605" s="1445"/>
      <c r="AJ605" s="1445"/>
      <c r="AK605" s="1445"/>
      <c r="AL605"/>
      <c r="AM605"/>
      <c r="AN605"/>
      <c r="AO605"/>
      <c r="AP605"/>
      <c r="AQ605"/>
      <c r="AR605"/>
      <c r="AS605"/>
      <c r="AT605"/>
      <c r="AU605"/>
      <c r="AV605"/>
      <c r="AW605"/>
      <c r="AX605"/>
      <c r="AY605"/>
      <c r="AZ605" s="3"/>
      <c r="BA605" s="3"/>
      <c r="BB605" s="3"/>
      <c r="BC605" s="3"/>
      <c r="BD605" s="3"/>
      <c r="BE605" s="1492">
        <f t="shared" si="1"/>
        <v>0</v>
      </c>
      <c r="BF605" s="1494"/>
      <c r="BG605" s="1501">
        <f t="shared" si="2"/>
        <v>0</v>
      </c>
      <c r="BH605" s="1503"/>
      <c r="BI605" s="1492">
        <f t="shared" si="3"/>
        <v>0</v>
      </c>
      <c r="BJ605" s="1494"/>
      <c r="BK605" s="1501">
        <f t="shared" si="4"/>
        <v>0</v>
      </c>
      <c r="BL605" s="1503"/>
      <c r="BM605" s="3"/>
      <c r="BN605" s="1488">
        <f t="shared" si="5"/>
        <v>0</v>
      </c>
      <c r="BO605" s="1489"/>
      <c r="BP605" s="1489"/>
      <c r="BQ605" s="1489"/>
      <c r="BR605" s="1490"/>
      <c r="BS605" s="1495">
        <f t="shared" si="6"/>
        <v>0</v>
      </c>
      <c r="BT605" s="1495"/>
      <c r="BU605" s="1495"/>
      <c r="BV605" s="1495"/>
      <c r="BW605" s="1495"/>
      <c r="BX605" s="1495">
        <f t="shared" si="7"/>
        <v>0</v>
      </c>
      <c r="BY605" s="1495"/>
      <c r="BZ605" s="1495"/>
      <c r="CA605" s="1495"/>
      <c r="CB605" s="1495"/>
      <c r="CC605" s="1495">
        <f t="shared" si="8"/>
        <v>0</v>
      </c>
      <c r="CD605" s="1495"/>
      <c r="CE605" s="1495"/>
      <c r="CF605" s="1495"/>
      <c r="CG605" s="1495"/>
      <c r="CH605" s="1495">
        <f t="shared" si="9"/>
        <v>0</v>
      </c>
      <c r="CI605" s="1495"/>
      <c r="CJ605" s="1495"/>
      <c r="CK605" s="1495"/>
      <c r="CL605" s="1495"/>
      <c r="CM605" s="1495">
        <f t="shared" si="10"/>
        <v>0</v>
      </c>
      <c r="CN605" s="1495"/>
      <c r="CO605" s="1495"/>
      <c r="CP605" s="1495"/>
      <c r="CQ605" s="1495"/>
      <c r="CR605" s="6"/>
      <c r="CS605" s="1500">
        <f t="shared" si="11"/>
        <v>0</v>
      </c>
      <c r="CT605" s="1500"/>
      <c r="CU605" s="1500"/>
      <c r="CV605" s="1500"/>
      <c r="CW605" s="1500"/>
      <c r="CX605" s="1500">
        <f t="shared" si="12"/>
        <v>0</v>
      </c>
      <c r="CY605" s="1500"/>
      <c r="CZ605" s="1500"/>
      <c r="DA605" s="1500"/>
      <c r="DB605" s="1500"/>
      <c r="DC605" s="1500">
        <f t="shared" si="13"/>
        <v>0</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92" t="str">
        <f t="shared" si="17"/>
        <v/>
      </c>
      <c r="DY605" s="1493"/>
      <c r="DZ605" s="1493"/>
      <c r="EA605" s="1493"/>
      <c r="EB605" s="1494"/>
      <c r="EC605" s="1492" t="str">
        <f t="shared" si="18"/>
        <v/>
      </c>
      <c r="ED605" s="1493"/>
      <c r="EE605" s="1493"/>
      <c r="EF605" s="1493"/>
      <c r="EG605" s="1494"/>
      <c r="EH605" s="1492" t="str">
        <f t="shared" si="19"/>
        <v/>
      </c>
      <c r="EI605" s="1493"/>
      <c r="EJ605" s="1493"/>
      <c r="EK605" s="1493"/>
      <c r="EL605" s="1494"/>
      <c r="EM605" s="1492" t="str">
        <f t="shared" si="20"/>
        <v/>
      </c>
      <c r="EN605" s="1493"/>
      <c r="EO605" s="1493"/>
      <c r="EP605" s="1493"/>
      <c r="EQ605" s="1494"/>
      <c r="ER605" s="1492" t="str">
        <f t="shared" si="21"/>
        <v/>
      </c>
      <c r="ES605" s="1493"/>
      <c r="ET605" s="1493"/>
      <c r="EU605" s="1493"/>
      <c r="EV605" s="1494"/>
      <c r="EW605" s="1492" t="str">
        <f t="shared" si="22"/>
        <v/>
      </c>
      <c r="EX605" s="1493"/>
      <c r="EY605" s="1493"/>
      <c r="EZ605" s="1493"/>
      <c r="FA605" s="1494"/>
    </row>
    <row r="606" spans="1:157" s="4" customFormat="1" ht="12.9"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2">
        <f t="shared" si="1"/>
        <v>0</v>
      </c>
      <c r="BF606" s="1494"/>
      <c r="BG606" s="1501">
        <f t="shared" si="2"/>
        <v>0</v>
      </c>
      <c r="BH606" s="1503"/>
      <c r="BI606" s="1492">
        <f t="shared" si="3"/>
        <v>0</v>
      </c>
      <c r="BJ606" s="1494"/>
      <c r="BK606" s="1501">
        <f t="shared" si="4"/>
        <v>0</v>
      </c>
      <c r="BL606" s="1503"/>
      <c r="BM606" s="3"/>
      <c r="BN606" s="1488">
        <f t="shared" si="5"/>
        <v>0</v>
      </c>
      <c r="BO606" s="1489"/>
      <c r="BP606" s="1489"/>
      <c r="BQ606" s="1489"/>
      <c r="BR606" s="1490"/>
      <c r="BS606" s="1495">
        <f t="shared" si="6"/>
        <v>0</v>
      </c>
      <c r="BT606" s="1495"/>
      <c r="BU606" s="1495"/>
      <c r="BV606" s="1495"/>
      <c r="BW606" s="1495"/>
      <c r="BX606" s="1495">
        <f t="shared" si="7"/>
        <v>0</v>
      </c>
      <c r="BY606" s="1495"/>
      <c r="BZ606" s="1495"/>
      <c r="CA606" s="1495"/>
      <c r="CB606" s="1495"/>
      <c r="CC606" s="1495">
        <f t="shared" si="8"/>
        <v>0</v>
      </c>
      <c r="CD606" s="1495"/>
      <c r="CE606" s="1495"/>
      <c r="CF606" s="1495"/>
      <c r="CG606" s="1495"/>
      <c r="CH606" s="1495">
        <f t="shared" si="9"/>
        <v>0</v>
      </c>
      <c r="CI606" s="1495"/>
      <c r="CJ606" s="1495"/>
      <c r="CK606" s="1495"/>
      <c r="CL606" s="1495"/>
      <c r="CM606" s="1495">
        <f t="shared" si="10"/>
        <v>0</v>
      </c>
      <c r="CN606" s="1495"/>
      <c r="CO606" s="1495"/>
      <c r="CP606" s="1495"/>
      <c r="CQ606" s="1495"/>
      <c r="CR606" s="6"/>
      <c r="CS606" s="1500">
        <f t="shared" si="11"/>
        <v>0</v>
      </c>
      <c r="CT606" s="1500"/>
      <c r="CU606" s="1500"/>
      <c r="CV606" s="1500"/>
      <c r="CW606" s="1500"/>
      <c r="CX606" s="1500">
        <f t="shared" si="12"/>
        <v>0</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92" t="str">
        <f t="shared" si="17"/>
        <v/>
      </c>
      <c r="DY606" s="1493"/>
      <c r="DZ606" s="1493"/>
      <c r="EA606" s="1493"/>
      <c r="EB606" s="1494"/>
      <c r="EC606" s="1492" t="str">
        <f t="shared" si="18"/>
        <v/>
      </c>
      <c r="ED606" s="1493"/>
      <c r="EE606" s="1493"/>
      <c r="EF606" s="1493"/>
      <c r="EG606" s="1494"/>
      <c r="EH606" s="1492" t="str">
        <f t="shared" si="19"/>
        <v/>
      </c>
      <c r="EI606" s="1493"/>
      <c r="EJ606" s="1493"/>
      <c r="EK606" s="1493"/>
      <c r="EL606" s="1494"/>
      <c r="EM606" s="1492" t="str">
        <f t="shared" si="20"/>
        <v/>
      </c>
      <c r="EN606" s="1493"/>
      <c r="EO606" s="1493"/>
      <c r="EP606" s="1493"/>
      <c r="EQ606" s="1494"/>
      <c r="ER606" s="1492" t="str">
        <f t="shared" si="21"/>
        <v/>
      </c>
      <c r="ES606" s="1493"/>
      <c r="ET606" s="1493"/>
      <c r="EU606" s="1493"/>
      <c r="EV606" s="1494"/>
      <c r="EW606" s="1492" t="str">
        <f t="shared" si="22"/>
        <v/>
      </c>
      <c r="EX606" s="1493"/>
      <c r="EY606" s="1493"/>
      <c r="EZ606" s="1493"/>
      <c r="FA606" s="1494"/>
    </row>
    <row r="607" spans="1:157" s="4" customFormat="1" ht="12.9"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92">
        <f t="shared" si="1"/>
        <v>0</v>
      </c>
      <c r="BF607" s="1494"/>
      <c r="BG607" s="1501">
        <f t="shared" si="2"/>
        <v>0</v>
      </c>
      <c r="BH607" s="1503"/>
      <c r="BI607" s="1492">
        <f t="shared" si="3"/>
        <v>0</v>
      </c>
      <c r="BJ607" s="1494"/>
      <c r="BK607" s="1501">
        <f t="shared" si="4"/>
        <v>0</v>
      </c>
      <c r="BL607" s="1503"/>
      <c r="BM607" s="3"/>
      <c r="BN607" s="1488">
        <f t="shared" si="5"/>
        <v>0</v>
      </c>
      <c r="BO607" s="1489"/>
      <c r="BP607" s="1489"/>
      <c r="BQ607" s="1489"/>
      <c r="BR607" s="1490"/>
      <c r="BS607" s="1495">
        <f t="shared" si="6"/>
        <v>0</v>
      </c>
      <c r="BT607" s="1495"/>
      <c r="BU607" s="1495"/>
      <c r="BV607" s="1495"/>
      <c r="BW607" s="1495"/>
      <c r="BX607" s="1495">
        <f t="shared" si="7"/>
        <v>0</v>
      </c>
      <c r="BY607" s="1495"/>
      <c r="BZ607" s="1495"/>
      <c r="CA607" s="1495"/>
      <c r="CB607" s="1495"/>
      <c r="CC607" s="1495">
        <f t="shared" si="8"/>
        <v>0</v>
      </c>
      <c r="CD607" s="1495"/>
      <c r="CE607" s="1495"/>
      <c r="CF607" s="1495"/>
      <c r="CG607" s="1495"/>
      <c r="CH607" s="1495">
        <f t="shared" si="9"/>
        <v>0</v>
      </c>
      <c r="CI607" s="1495"/>
      <c r="CJ607" s="1495"/>
      <c r="CK607" s="1495"/>
      <c r="CL607" s="1495"/>
      <c r="CM607" s="1495">
        <f t="shared" si="10"/>
        <v>0</v>
      </c>
      <c r="CN607" s="1495"/>
      <c r="CO607" s="1495"/>
      <c r="CP607" s="1495"/>
      <c r="CQ607" s="1495"/>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92" t="str">
        <f t="shared" si="17"/>
        <v/>
      </c>
      <c r="DY607" s="1493"/>
      <c r="DZ607" s="1493"/>
      <c r="EA607" s="1493"/>
      <c r="EB607" s="1494"/>
      <c r="EC607" s="1492" t="str">
        <f t="shared" si="18"/>
        <v/>
      </c>
      <c r="ED607" s="1493"/>
      <c r="EE607" s="1493"/>
      <c r="EF607" s="1493"/>
      <c r="EG607" s="1494"/>
      <c r="EH607" s="1492" t="str">
        <f t="shared" si="19"/>
        <v/>
      </c>
      <c r="EI607" s="1493"/>
      <c r="EJ607" s="1493"/>
      <c r="EK607" s="1493"/>
      <c r="EL607" s="1494"/>
      <c r="EM607" s="1492" t="str">
        <f t="shared" si="20"/>
        <v/>
      </c>
      <c r="EN607" s="1493"/>
      <c r="EO607" s="1493"/>
      <c r="EP607" s="1493"/>
      <c r="EQ607" s="1494"/>
      <c r="ER607" s="1492" t="str">
        <f t="shared" si="21"/>
        <v/>
      </c>
      <c r="ES607" s="1493"/>
      <c r="ET607" s="1493"/>
      <c r="EU607" s="1493"/>
      <c r="EV607" s="1494"/>
      <c r="EW607" s="1492" t="str">
        <f t="shared" si="22"/>
        <v/>
      </c>
      <c r="EX607" s="1493"/>
      <c r="EY607" s="1493"/>
      <c r="EZ607" s="1493"/>
      <c r="FA607" s="1494"/>
    </row>
    <row r="608" spans="1:157" ht="12.9" customHeight="1">
      <c r="A608" s="22"/>
      <c r="T608" s="22"/>
      <c r="AZ608" s="3"/>
      <c r="BA608" s="3"/>
      <c r="BB608" s="3"/>
      <c r="BC608" s="3"/>
      <c r="BD608" s="3"/>
      <c r="BE608" s="1492">
        <f t="shared" si="1"/>
        <v>0</v>
      </c>
      <c r="BF608" s="1494"/>
      <c r="BG608" s="1501">
        <f t="shared" si="2"/>
        <v>0</v>
      </c>
      <c r="BH608" s="1503"/>
      <c r="BI608" s="1492">
        <f t="shared" si="3"/>
        <v>0</v>
      </c>
      <c r="BJ608" s="1494"/>
      <c r="BK608" s="1501">
        <f t="shared" si="4"/>
        <v>0</v>
      </c>
      <c r="BL608" s="1503"/>
      <c r="BM608" s="3"/>
      <c r="BN608" s="1488">
        <f t="shared" si="5"/>
        <v>0</v>
      </c>
      <c r="BO608" s="1489"/>
      <c r="BP608" s="1489"/>
      <c r="BQ608" s="1489"/>
      <c r="BR608" s="1490"/>
      <c r="BS608" s="1495">
        <f t="shared" si="6"/>
        <v>0</v>
      </c>
      <c r="BT608" s="1495"/>
      <c r="BU608" s="1495"/>
      <c r="BV608" s="1495"/>
      <c r="BW608" s="1495"/>
      <c r="BX608" s="1495">
        <f t="shared" si="7"/>
        <v>0</v>
      </c>
      <c r="BY608" s="1495"/>
      <c r="BZ608" s="1495"/>
      <c r="CA608" s="1495"/>
      <c r="CB608" s="1495"/>
      <c r="CC608" s="1495">
        <f t="shared" si="8"/>
        <v>0</v>
      </c>
      <c r="CD608" s="1495"/>
      <c r="CE608" s="1495"/>
      <c r="CF608" s="1495"/>
      <c r="CG608" s="1495"/>
      <c r="CH608" s="1495">
        <f t="shared" si="9"/>
        <v>0</v>
      </c>
      <c r="CI608" s="1495"/>
      <c r="CJ608" s="1495"/>
      <c r="CK608" s="1495"/>
      <c r="CL608" s="1495"/>
      <c r="CM608" s="1495">
        <f t="shared" si="10"/>
        <v>0</v>
      </c>
      <c r="CN608" s="1495"/>
      <c r="CO608" s="1495"/>
      <c r="CP608" s="1495"/>
      <c r="CQ608" s="1495"/>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92" t="str">
        <f t="shared" si="17"/>
        <v/>
      </c>
      <c r="DY608" s="1493"/>
      <c r="DZ608" s="1493"/>
      <c r="EA608" s="1493"/>
      <c r="EB608" s="1494"/>
      <c r="EC608" s="1492" t="str">
        <f t="shared" si="18"/>
        <v/>
      </c>
      <c r="ED608" s="1493"/>
      <c r="EE608" s="1493"/>
      <c r="EF608" s="1493"/>
      <c r="EG608" s="1494"/>
      <c r="EH608" s="1492" t="str">
        <f t="shared" si="19"/>
        <v/>
      </c>
      <c r="EI608" s="1493"/>
      <c r="EJ608" s="1493"/>
      <c r="EK608" s="1493"/>
      <c r="EL608" s="1494"/>
      <c r="EM608" s="1492" t="str">
        <f t="shared" si="20"/>
        <v/>
      </c>
      <c r="EN608" s="1493"/>
      <c r="EO608" s="1493"/>
      <c r="EP608" s="1493"/>
      <c r="EQ608" s="1494"/>
      <c r="ER608" s="1492" t="str">
        <f t="shared" si="21"/>
        <v/>
      </c>
      <c r="ES608" s="1493"/>
      <c r="ET608" s="1493"/>
      <c r="EU608" s="1493"/>
      <c r="EV608" s="1494"/>
      <c r="EW608" s="1492" t="str">
        <f t="shared" si="22"/>
        <v/>
      </c>
      <c r="EX608" s="1493"/>
      <c r="EY608" s="1493"/>
      <c r="EZ608" s="1493"/>
      <c r="FA608" s="1494"/>
    </row>
    <row r="609" spans="1:157" ht="12.9" customHeight="1">
      <c r="A609" s="55" t="s">
        <v>363</v>
      </c>
      <c r="B609" t="s">
        <v>472</v>
      </c>
      <c r="G609" s="1459">
        <f>C564</f>
        <v>0</v>
      </c>
      <c r="H609" s="1459"/>
      <c r="I609" s="1459"/>
      <c r="J609" s="1459"/>
      <c r="K609" s="1459"/>
      <c r="L609" s="1459"/>
      <c r="M609" s="1459"/>
      <c r="N609" s="1459"/>
      <c r="O609" s="1459"/>
      <c r="P609" s="1459"/>
      <c r="Q609" s="1459"/>
      <c r="R609" s="1459"/>
      <c r="T609" s="55" t="s">
        <v>364</v>
      </c>
      <c r="U609" t="s">
        <v>472</v>
      </c>
      <c r="Z609" s="1459">
        <f>C565</f>
        <v>0</v>
      </c>
      <c r="AA609" s="1459"/>
      <c r="AB609" s="1459"/>
      <c r="AC609" s="1459"/>
      <c r="AD609" s="1459"/>
      <c r="AE609" s="1459"/>
      <c r="AF609" s="1459"/>
      <c r="AG609" s="1459"/>
      <c r="AH609" s="1459"/>
      <c r="AI609" s="1459"/>
      <c r="AJ609" s="1459"/>
      <c r="AK609" s="1459"/>
      <c r="AZ609" s="3"/>
      <c r="BA609" s="3"/>
      <c r="BB609" s="3"/>
      <c r="BC609" s="3"/>
      <c r="BD609" s="3"/>
      <c r="BE609" s="1492">
        <f t="shared" si="1"/>
        <v>0</v>
      </c>
      <c r="BF609" s="1494"/>
      <c r="BG609" s="1501">
        <f t="shared" si="2"/>
        <v>0</v>
      </c>
      <c r="BH609" s="1503"/>
      <c r="BI609" s="1492">
        <f t="shared" si="3"/>
        <v>0</v>
      </c>
      <c r="BJ609" s="1494"/>
      <c r="BK609" s="1501">
        <f t="shared" si="4"/>
        <v>0</v>
      </c>
      <c r="BL609" s="1503"/>
      <c r="BM609" s="3"/>
      <c r="BN609" s="1488">
        <f t="shared" si="5"/>
        <v>0</v>
      </c>
      <c r="BO609" s="1489"/>
      <c r="BP609" s="1489"/>
      <c r="BQ609" s="1489"/>
      <c r="BR609" s="1490"/>
      <c r="BS609" s="1495">
        <f t="shared" si="6"/>
        <v>0</v>
      </c>
      <c r="BT609" s="1495"/>
      <c r="BU609" s="1495"/>
      <c r="BV609" s="1495"/>
      <c r="BW609" s="1495"/>
      <c r="BX609" s="1495">
        <f t="shared" si="7"/>
        <v>0</v>
      </c>
      <c r="BY609" s="1495"/>
      <c r="BZ609" s="1495"/>
      <c r="CA609" s="1495"/>
      <c r="CB609" s="1495"/>
      <c r="CC609" s="1495">
        <f t="shared" si="8"/>
        <v>0</v>
      </c>
      <c r="CD609" s="1495"/>
      <c r="CE609" s="1495"/>
      <c r="CF609" s="1495"/>
      <c r="CG609" s="1495"/>
      <c r="CH609" s="1495">
        <f t="shared" si="9"/>
        <v>0</v>
      </c>
      <c r="CI609" s="1495"/>
      <c r="CJ609" s="1495"/>
      <c r="CK609" s="1495"/>
      <c r="CL609" s="1495"/>
      <c r="CM609" s="1495">
        <f t="shared" si="10"/>
        <v>0</v>
      </c>
      <c r="CN609" s="1495"/>
      <c r="CO609" s="1495"/>
      <c r="CP609" s="1495"/>
      <c r="CQ609" s="1495"/>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0</v>
      </c>
      <c r="DI609" s="1500"/>
      <c r="DJ609" s="1500"/>
      <c r="DK609" s="1500"/>
      <c r="DL609" s="1500"/>
      <c r="DM609" s="1500">
        <f t="shared" si="15"/>
        <v>0</v>
      </c>
      <c r="DN609" s="1500"/>
      <c r="DO609" s="1500"/>
      <c r="DP609" s="1500"/>
      <c r="DQ609" s="1500"/>
      <c r="DR609" s="1500">
        <f t="shared" si="16"/>
        <v>0</v>
      </c>
      <c r="DS609" s="1500"/>
      <c r="DT609" s="1500"/>
      <c r="DU609" s="1500"/>
      <c r="DV609" s="1500"/>
      <c r="DX609" s="1492" t="str">
        <f t="shared" si="17"/>
        <v/>
      </c>
      <c r="DY609" s="1493"/>
      <c r="DZ609" s="1493"/>
      <c r="EA609" s="1493"/>
      <c r="EB609" s="1494"/>
      <c r="EC609" s="1492" t="str">
        <f t="shared" si="18"/>
        <v/>
      </c>
      <c r="ED609" s="1493"/>
      <c r="EE609" s="1493"/>
      <c r="EF609" s="1493"/>
      <c r="EG609" s="1494"/>
      <c r="EH609" s="1492" t="str">
        <f t="shared" si="19"/>
        <v/>
      </c>
      <c r="EI609" s="1493"/>
      <c r="EJ609" s="1493"/>
      <c r="EK609" s="1493"/>
      <c r="EL609" s="1494"/>
      <c r="EM609" s="1492" t="str">
        <f t="shared" si="20"/>
        <v/>
      </c>
      <c r="EN609" s="1493"/>
      <c r="EO609" s="1493"/>
      <c r="EP609" s="1493"/>
      <c r="EQ609" s="1494"/>
      <c r="ER609" s="1492" t="str">
        <f t="shared" si="21"/>
        <v/>
      </c>
      <c r="ES609" s="1493"/>
      <c r="ET609" s="1493"/>
      <c r="EU609" s="1493"/>
      <c r="EV609" s="1494"/>
      <c r="EW609" s="1492" t="str">
        <f t="shared" si="22"/>
        <v/>
      </c>
      <c r="EX609" s="1493"/>
      <c r="EY609" s="1493"/>
      <c r="EZ609" s="1493"/>
      <c r="FA609" s="1494"/>
    </row>
    <row r="610" spans="1:157" ht="12.9"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2">
        <f t="shared" si="1"/>
        <v>0</v>
      </c>
      <c r="BF610" s="1494"/>
      <c r="BG610" s="1501">
        <f t="shared" si="2"/>
        <v>0</v>
      </c>
      <c r="BH610" s="1503"/>
      <c r="BI610" s="1492">
        <f t="shared" si="3"/>
        <v>0</v>
      </c>
      <c r="BJ610" s="1494"/>
      <c r="BK610" s="1501">
        <f t="shared" si="4"/>
        <v>0</v>
      </c>
      <c r="BL610" s="1503"/>
      <c r="BM610" s="3"/>
      <c r="BN610" s="1488">
        <f t="shared" si="5"/>
        <v>0</v>
      </c>
      <c r="BO610" s="1489"/>
      <c r="BP610" s="1489"/>
      <c r="BQ610" s="1489"/>
      <c r="BR610" s="1490"/>
      <c r="BS610" s="1495">
        <f t="shared" si="6"/>
        <v>0</v>
      </c>
      <c r="BT610" s="1495"/>
      <c r="BU610" s="1495"/>
      <c r="BV610" s="1495"/>
      <c r="BW610" s="1495"/>
      <c r="BX610" s="1495">
        <f t="shared" si="7"/>
        <v>0</v>
      </c>
      <c r="BY610" s="1495"/>
      <c r="BZ610" s="1495"/>
      <c r="CA610" s="1495"/>
      <c r="CB610" s="1495"/>
      <c r="CC610" s="1495">
        <f t="shared" si="8"/>
        <v>0</v>
      </c>
      <c r="CD610" s="1495"/>
      <c r="CE610" s="1495"/>
      <c r="CF610" s="1495"/>
      <c r="CG610" s="1495"/>
      <c r="CH610" s="1495">
        <f t="shared" si="9"/>
        <v>0</v>
      </c>
      <c r="CI610" s="1495"/>
      <c r="CJ610" s="1495"/>
      <c r="CK610" s="1495"/>
      <c r="CL610" s="1495"/>
      <c r="CM610" s="1495">
        <f t="shared" si="10"/>
        <v>0</v>
      </c>
      <c r="CN610" s="1495"/>
      <c r="CO610" s="1495"/>
      <c r="CP610" s="1495"/>
      <c r="CQ610" s="1495"/>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92" t="str">
        <f t="shared" si="17"/>
        <v/>
      </c>
      <c r="DY610" s="1493"/>
      <c r="DZ610" s="1493"/>
      <c r="EA610" s="1493"/>
      <c r="EB610" s="1494"/>
      <c r="EC610" s="1492" t="str">
        <f t="shared" si="18"/>
        <v/>
      </c>
      <c r="ED610" s="1493"/>
      <c r="EE610" s="1493"/>
      <c r="EF610" s="1493"/>
      <c r="EG610" s="1494"/>
      <c r="EH610" s="1492" t="str">
        <f t="shared" si="19"/>
        <v/>
      </c>
      <c r="EI610" s="1493"/>
      <c r="EJ610" s="1493"/>
      <c r="EK610" s="1493"/>
      <c r="EL610" s="1494"/>
      <c r="EM610" s="1492" t="str">
        <f t="shared" si="20"/>
        <v/>
      </c>
      <c r="EN610" s="1493"/>
      <c r="EO610" s="1493"/>
      <c r="EP610" s="1493"/>
      <c r="EQ610" s="1494"/>
      <c r="ER610" s="1492" t="str">
        <f t="shared" si="21"/>
        <v/>
      </c>
      <c r="ES610" s="1493"/>
      <c r="ET610" s="1493"/>
      <c r="EU610" s="1493"/>
      <c r="EV610" s="1494"/>
      <c r="EW610" s="1492" t="str">
        <f t="shared" si="22"/>
        <v/>
      </c>
      <c r="EX610" s="1493"/>
      <c r="EY610" s="1493"/>
      <c r="EZ610" s="1493"/>
      <c r="FA610" s="1494"/>
    </row>
    <row r="611" spans="1:157" ht="12.9"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92">
        <f t="shared" si="1"/>
        <v>0</v>
      </c>
      <c r="BF611" s="1494"/>
      <c r="BG611" s="1501">
        <f t="shared" si="2"/>
        <v>0</v>
      </c>
      <c r="BH611" s="1503"/>
      <c r="BI611" s="1492">
        <f t="shared" si="3"/>
        <v>0</v>
      </c>
      <c r="BJ611" s="1494"/>
      <c r="BK611" s="1501">
        <f t="shared" si="4"/>
        <v>0</v>
      </c>
      <c r="BL611" s="1503"/>
      <c r="BM611" s="3"/>
      <c r="BN611" s="1488">
        <f t="shared" si="5"/>
        <v>0</v>
      </c>
      <c r="BO611" s="1489"/>
      <c r="BP611" s="1489"/>
      <c r="BQ611" s="1489"/>
      <c r="BR611" s="1490"/>
      <c r="BS611" s="1495">
        <f t="shared" si="6"/>
        <v>0</v>
      </c>
      <c r="BT611" s="1495"/>
      <c r="BU611" s="1495"/>
      <c r="BV611" s="1495"/>
      <c r="BW611" s="1495"/>
      <c r="BX611" s="1495">
        <f t="shared" si="7"/>
        <v>0</v>
      </c>
      <c r="BY611" s="1495"/>
      <c r="BZ611" s="1495"/>
      <c r="CA611" s="1495"/>
      <c r="CB611" s="1495"/>
      <c r="CC611" s="1495">
        <f t="shared" si="8"/>
        <v>0</v>
      </c>
      <c r="CD611" s="1495"/>
      <c r="CE611" s="1495"/>
      <c r="CF611" s="1495"/>
      <c r="CG611" s="1495"/>
      <c r="CH611" s="1495">
        <f t="shared" si="9"/>
        <v>0</v>
      </c>
      <c r="CI611" s="1495"/>
      <c r="CJ611" s="1495"/>
      <c r="CK611" s="1495"/>
      <c r="CL611" s="1495"/>
      <c r="CM611" s="1495">
        <f t="shared" si="10"/>
        <v>0</v>
      </c>
      <c r="CN611" s="1495"/>
      <c r="CO611" s="1495"/>
      <c r="CP611" s="1495"/>
      <c r="CQ611" s="1495"/>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92" t="str">
        <f t="shared" si="17"/>
        <v/>
      </c>
      <c r="DY611" s="1493"/>
      <c r="DZ611" s="1493"/>
      <c r="EA611" s="1493"/>
      <c r="EB611" s="1494"/>
      <c r="EC611" s="1492" t="str">
        <f t="shared" si="18"/>
        <v/>
      </c>
      <c r="ED611" s="1493"/>
      <c r="EE611" s="1493"/>
      <c r="EF611" s="1493"/>
      <c r="EG611" s="1494"/>
      <c r="EH611" s="1492" t="str">
        <f t="shared" si="19"/>
        <v/>
      </c>
      <c r="EI611" s="1493"/>
      <c r="EJ611" s="1493"/>
      <c r="EK611" s="1493"/>
      <c r="EL611" s="1494"/>
      <c r="EM611" s="1492" t="str">
        <f t="shared" si="20"/>
        <v/>
      </c>
      <c r="EN611" s="1493"/>
      <c r="EO611" s="1493"/>
      <c r="EP611" s="1493"/>
      <c r="EQ611" s="1494"/>
      <c r="ER611" s="1492" t="str">
        <f t="shared" si="21"/>
        <v/>
      </c>
      <c r="ES611" s="1493"/>
      <c r="ET611" s="1493"/>
      <c r="EU611" s="1493"/>
      <c r="EV611" s="1494"/>
      <c r="EW611" s="1492" t="str">
        <f t="shared" si="22"/>
        <v/>
      </c>
      <c r="EX611" s="1493"/>
      <c r="EY611" s="1493"/>
      <c r="EZ611" s="1493"/>
      <c r="FA611" s="1494"/>
    </row>
    <row r="612" spans="1:157" ht="12.9"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92">
        <f t="shared" si="1"/>
        <v>0</v>
      </c>
      <c r="BF612" s="1494"/>
      <c r="BG612" s="1501">
        <f t="shared" si="2"/>
        <v>0</v>
      </c>
      <c r="BH612" s="1503"/>
      <c r="BI612" s="1492">
        <f t="shared" si="3"/>
        <v>0</v>
      </c>
      <c r="BJ612" s="1494"/>
      <c r="BK612" s="1501">
        <f t="shared" si="4"/>
        <v>0</v>
      </c>
      <c r="BL612" s="1503"/>
      <c r="BM612" s="3"/>
      <c r="BN612" s="1488">
        <f t="shared" si="5"/>
        <v>0</v>
      </c>
      <c r="BO612" s="1489"/>
      <c r="BP612" s="1489"/>
      <c r="BQ612" s="1489"/>
      <c r="BR612" s="1490"/>
      <c r="BS612" s="1495">
        <f t="shared" si="6"/>
        <v>0</v>
      </c>
      <c r="BT612" s="1495"/>
      <c r="BU612" s="1495"/>
      <c r="BV612" s="1495"/>
      <c r="BW612" s="1495"/>
      <c r="BX612" s="1495">
        <f t="shared" si="7"/>
        <v>0</v>
      </c>
      <c r="BY612" s="1495"/>
      <c r="BZ612" s="1495"/>
      <c r="CA612" s="1495"/>
      <c r="CB612" s="1495"/>
      <c r="CC612" s="1495">
        <f t="shared" si="8"/>
        <v>0</v>
      </c>
      <c r="CD612" s="1495"/>
      <c r="CE612" s="1495"/>
      <c r="CF612" s="1495"/>
      <c r="CG612" s="1495"/>
      <c r="CH612" s="1495">
        <f t="shared" si="9"/>
        <v>0</v>
      </c>
      <c r="CI612" s="1495"/>
      <c r="CJ612" s="1495"/>
      <c r="CK612" s="1495"/>
      <c r="CL612" s="1495"/>
      <c r="CM612" s="1495">
        <f t="shared" si="10"/>
        <v>0</v>
      </c>
      <c r="CN612" s="1495"/>
      <c r="CO612" s="1495"/>
      <c r="CP612" s="1495"/>
      <c r="CQ612" s="1495"/>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92" t="str">
        <f t="shared" si="17"/>
        <v/>
      </c>
      <c r="DY612" s="1493"/>
      <c r="DZ612" s="1493"/>
      <c r="EA612" s="1493"/>
      <c r="EB612" s="1494"/>
      <c r="EC612" s="1492" t="str">
        <f t="shared" si="18"/>
        <v/>
      </c>
      <c r="ED612" s="1493"/>
      <c r="EE612" s="1493"/>
      <c r="EF612" s="1493"/>
      <c r="EG612" s="1494"/>
      <c r="EH612" s="1492" t="str">
        <f t="shared" si="19"/>
        <v/>
      </c>
      <c r="EI612" s="1493"/>
      <c r="EJ612" s="1493"/>
      <c r="EK612" s="1493"/>
      <c r="EL612" s="1494"/>
      <c r="EM612" s="1492" t="str">
        <f t="shared" si="20"/>
        <v/>
      </c>
      <c r="EN612" s="1493"/>
      <c r="EO612" s="1493"/>
      <c r="EP612" s="1493"/>
      <c r="EQ612" s="1494"/>
      <c r="ER612" s="1492" t="str">
        <f t="shared" si="21"/>
        <v/>
      </c>
      <c r="ES612" s="1493"/>
      <c r="ET612" s="1493"/>
      <c r="EU612" s="1493"/>
      <c r="EV612" s="1494"/>
      <c r="EW612" s="1492" t="str">
        <f t="shared" si="22"/>
        <v/>
      </c>
      <c r="EX612" s="1493"/>
      <c r="EY612" s="1493"/>
      <c r="EZ612" s="1493"/>
      <c r="FA612" s="1494"/>
    </row>
    <row r="613" spans="1:157" ht="12.9" customHeight="1">
      <c r="B613" t="s">
        <v>317</v>
      </c>
      <c r="G613" s="1390"/>
      <c r="H613" s="1390"/>
      <c r="I613" s="1390"/>
      <c r="J613" s="1390"/>
      <c r="K613" s="1390"/>
      <c r="L613" s="1390"/>
      <c r="O613" s="33" t="s">
        <v>207</v>
      </c>
      <c r="P613" s="1445"/>
      <c r="Q613" s="1445"/>
      <c r="R613" s="1445"/>
      <c r="U613" t="s">
        <v>317</v>
      </c>
      <c r="Z613" s="1390"/>
      <c r="AA613" s="1390"/>
      <c r="AB613" s="1390"/>
      <c r="AC613" s="1390"/>
      <c r="AD613" s="1390"/>
      <c r="AE613" s="1390"/>
      <c r="AH613" s="33" t="s">
        <v>207</v>
      </c>
      <c r="AI613" s="1445"/>
      <c r="AJ613" s="1445"/>
      <c r="AK613" s="1445"/>
      <c r="AZ613" s="3"/>
      <c r="BA613" s="3"/>
      <c r="BB613" s="3"/>
      <c r="BC613" s="3"/>
      <c r="BD613" s="3"/>
      <c r="BE613" s="1492">
        <f t="shared" si="1"/>
        <v>0</v>
      </c>
      <c r="BF613" s="1494"/>
      <c r="BG613" s="1501">
        <f t="shared" si="2"/>
        <v>0</v>
      </c>
      <c r="BH613" s="1503"/>
      <c r="BI613" s="1492">
        <f t="shared" si="3"/>
        <v>0</v>
      </c>
      <c r="BJ613" s="1494"/>
      <c r="BK613" s="1501">
        <f t="shared" si="4"/>
        <v>0</v>
      </c>
      <c r="BL613" s="1503"/>
      <c r="BM613" s="3"/>
      <c r="BN613" s="1488">
        <f t="shared" si="5"/>
        <v>0</v>
      </c>
      <c r="BO613" s="1489"/>
      <c r="BP613" s="1489"/>
      <c r="BQ613" s="1489"/>
      <c r="BR613" s="1490"/>
      <c r="BS613" s="1495">
        <f t="shared" si="6"/>
        <v>0</v>
      </c>
      <c r="BT613" s="1495"/>
      <c r="BU613" s="1495"/>
      <c r="BV613" s="1495"/>
      <c r="BW613" s="1495"/>
      <c r="BX613" s="1495">
        <f t="shared" si="7"/>
        <v>0</v>
      </c>
      <c r="BY613" s="1495"/>
      <c r="BZ613" s="1495"/>
      <c r="CA613" s="1495"/>
      <c r="CB613" s="1495"/>
      <c r="CC613" s="1495">
        <f t="shared" si="8"/>
        <v>0</v>
      </c>
      <c r="CD613" s="1495"/>
      <c r="CE613" s="1495"/>
      <c r="CF613" s="1495"/>
      <c r="CG613" s="1495"/>
      <c r="CH613" s="1495">
        <f t="shared" si="9"/>
        <v>0</v>
      </c>
      <c r="CI613" s="1495"/>
      <c r="CJ613" s="1495"/>
      <c r="CK613" s="1495"/>
      <c r="CL613" s="1495"/>
      <c r="CM613" s="1495">
        <f t="shared" si="10"/>
        <v>0</v>
      </c>
      <c r="CN613" s="1495"/>
      <c r="CO613" s="1495"/>
      <c r="CP613" s="1495"/>
      <c r="CQ613" s="1495"/>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92" t="str">
        <f t="shared" si="17"/>
        <v/>
      </c>
      <c r="DY613" s="1493"/>
      <c r="DZ613" s="1493"/>
      <c r="EA613" s="1493"/>
      <c r="EB613" s="1494"/>
      <c r="EC613" s="1492" t="str">
        <f t="shared" si="18"/>
        <v/>
      </c>
      <c r="ED613" s="1493"/>
      <c r="EE613" s="1493"/>
      <c r="EF613" s="1493"/>
      <c r="EG613" s="1494"/>
      <c r="EH613" s="1492" t="str">
        <f t="shared" si="19"/>
        <v/>
      </c>
      <c r="EI613" s="1493"/>
      <c r="EJ613" s="1493"/>
      <c r="EK613" s="1493"/>
      <c r="EL613" s="1494"/>
      <c r="EM613" s="1492" t="str">
        <f t="shared" si="20"/>
        <v/>
      </c>
      <c r="EN613" s="1493"/>
      <c r="EO613" s="1493"/>
      <c r="EP613" s="1493"/>
      <c r="EQ613" s="1494"/>
      <c r="ER613" s="1492" t="str">
        <f t="shared" si="21"/>
        <v/>
      </c>
      <c r="ES613" s="1493"/>
      <c r="ET613" s="1493"/>
      <c r="EU613" s="1493"/>
      <c r="EV613" s="1494"/>
      <c r="EW613" s="1492" t="str">
        <f t="shared" si="22"/>
        <v/>
      </c>
      <c r="EX613" s="1493"/>
      <c r="EY613" s="1493"/>
      <c r="EZ613" s="1493"/>
      <c r="FA613" s="1494"/>
    </row>
    <row r="614" spans="1:157" ht="12.9"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2">
        <f t="shared" si="1"/>
        <v>0</v>
      </c>
      <c r="BF614" s="1494"/>
      <c r="BG614" s="1501">
        <f t="shared" si="2"/>
        <v>0</v>
      </c>
      <c r="BH614" s="1503"/>
      <c r="BI614" s="1492">
        <f t="shared" si="3"/>
        <v>0</v>
      </c>
      <c r="BJ614" s="1494"/>
      <c r="BK614" s="1501">
        <f t="shared" si="4"/>
        <v>0</v>
      </c>
      <c r="BL614" s="1503"/>
      <c r="BM614" s="3"/>
      <c r="BN614" s="1488">
        <f t="shared" si="5"/>
        <v>0</v>
      </c>
      <c r="BO614" s="1489"/>
      <c r="BP614" s="1489"/>
      <c r="BQ614" s="1489"/>
      <c r="BR614" s="1490"/>
      <c r="BS614" s="1495">
        <f t="shared" si="6"/>
        <v>0</v>
      </c>
      <c r="BT614" s="1495"/>
      <c r="BU614" s="1495"/>
      <c r="BV614" s="1495"/>
      <c r="BW614" s="1495"/>
      <c r="BX614" s="1495">
        <f t="shared" si="7"/>
        <v>0</v>
      </c>
      <c r="BY614" s="1495"/>
      <c r="BZ614" s="1495"/>
      <c r="CA614" s="1495"/>
      <c r="CB614" s="1495"/>
      <c r="CC614" s="1495">
        <f t="shared" si="8"/>
        <v>0</v>
      </c>
      <c r="CD614" s="1495"/>
      <c r="CE614" s="1495"/>
      <c r="CF614" s="1495"/>
      <c r="CG614" s="1495"/>
      <c r="CH614" s="1495">
        <f t="shared" si="9"/>
        <v>0</v>
      </c>
      <c r="CI614" s="1495"/>
      <c r="CJ614" s="1495"/>
      <c r="CK614" s="1495"/>
      <c r="CL614" s="1495"/>
      <c r="CM614" s="1495">
        <f t="shared" si="10"/>
        <v>0</v>
      </c>
      <c r="CN614" s="1495"/>
      <c r="CO614" s="1495"/>
      <c r="CP614" s="1495"/>
      <c r="CQ614" s="1495"/>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92" t="str">
        <f t="shared" si="17"/>
        <v/>
      </c>
      <c r="DY614" s="1493"/>
      <c r="DZ614" s="1493"/>
      <c r="EA614" s="1493"/>
      <c r="EB614" s="1494"/>
      <c r="EC614" s="1492" t="str">
        <f t="shared" si="18"/>
        <v/>
      </c>
      <c r="ED614" s="1493"/>
      <c r="EE614" s="1493"/>
      <c r="EF614" s="1493"/>
      <c r="EG614" s="1494"/>
      <c r="EH614" s="1492" t="str">
        <f t="shared" si="19"/>
        <v/>
      </c>
      <c r="EI614" s="1493"/>
      <c r="EJ614" s="1493"/>
      <c r="EK614" s="1493"/>
      <c r="EL614" s="1494"/>
      <c r="EM614" s="1492" t="str">
        <f t="shared" si="20"/>
        <v/>
      </c>
      <c r="EN614" s="1493"/>
      <c r="EO614" s="1493"/>
      <c r="EP614" s="1493"/>
      <c r="EQ614" s="1494"/>
      <c r="ER614" s="1492" t="str">
        <f t="shared" si="21"/>
        <v/>
      </c>
      <c r="ES614" s="1493"/>
      <c r="ET614" s="1493"/>
      <c r="EU614" s="1493"/>
      <c r="EV614" s="1494"/>
      <c r="EW614" s="1492" t="str">
        <f t="shared" si="22"/>
        <v/>
      </c>
      <c r="EX614" s="1493"/>
      <c r="EY614" s="1493"/>
      <c r="EZ614" s="1493"/>
      <c r="FA614" s="1494"/>
    </row>
    <row r="615" spans="1:157" ht="12.9" customHeight="1">
      <c r="B615" t="s">
        <v>20</v>
      </c>
      <c r="N615" s="1379" t="s">
        <v>678</v>
      </c>
      <c r="O615" s="1379"/>
      <c r="U615" t="s">
        <v>20</v>
      </c>
      <c r="AG615" s="1379" t="s">
        <v>678</v>
      </c>
      <c r="AH615" s="1379"/>
      <c r="AU615" s="934"/>
      <c r="AV615" s="934"/>
      <c r="AW615" s="934"/>
      <c r="AX615" s="934"/>
      <c r="AY615" s="934"/>
      <c r="AZ615" s="3"/>
      <c r="BA615" s="3"/>
      <c r="BB615" s="3"/>
      <c r="BC615" s="3"/>
      <c r="BD615" s="3"/>
      <c r="BE615" s="1492">
        <f t="shared" si="1"/>
        <v>0</v>
      </c>
      <c r="BF615" s="1494"/>
      <c r="BG615" s="1501">
        <f t="shared" si="2"/>
        <v>0</v>
      </c>
      <c r="BH615" s="1503"/>
      <c r="BI615" s="1492">
        <f t="shared" si="3"/>
        <v>0</v>
      </c>
      <c r="BJ615" s="1494"/>
      <c r="BK615" s="1501">
        <f t="shared" si="4"/>
        <v>0</v>
      </c>
      <c r="BL615" s="1503"/>
      <c r="BM615" s="3"/>
      <c r="BN615" s="1488">
        <f t="shared" si="5"/>
        <v>0</v>
      </c>
      <c r="BO615" s="1489"/>
      <c r="BP615" s="1489"/>
      <c r="BQ615" s="1489"/>
      <c r="BR615" s="1490"/>
      <c r="BS615" s="1495">
        <f t="shared" si="6"/>
        <v>0</v>
      </c>
      <c r="BT615" s="1495"/>
      <c r="BU615" s="1495"/>
      <c r="BV615" s="1495"/>
      <c r="BW615" s="1495"/>
      <c r="BX615" s="1495">
        <f t="shared" si="7"/>
        <v>0</v>
      </c>
      <c r="BY615" s="1495"/>
      <c r="BZ615" s="1495"/>
      <c r="CA615" s="1495"/>
      <c r="CB615" s="1495"/>
      <c r="CC615" s="1495">
        <f t="shared" si="8"/>
        <v>0</v>
      </c>
      <c r="CD615" s="1495"/>
      <c r="CE615" s="1495"/>
      <c r="CF615" s="1495"/>
      <c r="CG615" s="1495"/>
      <c r="CH615" s="1495">
        <f t="shared" si="9"/>
        <v>0</v>
      </c>
      <c r="CI615" s="1495"/>
      <c r="CJ615" s="1495"/>
      <c r="CK615" s="1495"/>
      <c r="CL615" s="1495"/>
      <c r="CM615" s="1495">
        <f t="shared" si="10"/>
        <v>0</v>
      </c>
      <c r="CN615" s="1495"/>
      <c r="CO615" s="1495"/>
      <c r="CP615" s="1495"/>
      <c r="CQ615" s="1495"/>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92" t="str">
        <f t="shared" si="17"/>
        <v/>
      </c>
      <c r="DY615" s="1493"/>
      <c r="DZ615" s="1493"/>
      <c r="EA615" s="1493"/>
      <c r="EB615" s="1494"/>
      <c r="EC615" s="1492" t="str">
        <f t="shared" si="18"/>
        <v/>
      </c>
      <c r="ED615" s="1493"/>
      <c r="EE615" s="1493"/>
      <c r="EF615" s="1493"/>
      <c r="EG615" s="1494"/>
      <c r="EH615" s="1492" t="str">
        <f t="shared" si="19"/>
        <v/>
      </c>
      <c r="EI615" s="1493"/>
      <c r="EJ615" s="1493"/>
      <c r="EK615" s="1493"/>
      <c r="EL615" s="1494"/>
      <c r="EM615" s="1492" t="str">
        <f t="shared" si="20"/>
        <v/>
      </c>
      <c r="EN615" s="1493"/>
      <c r="EO615" s="1493"/>
      <c r="EP615" s="1493"/>
      <c r="EQ615" s="1494"/>
      <c r="ER615" s="1492" t="str">
        <f t="shared" si="21"/>
        <v/>
      </c>
      <c r="ES615" s="1493"/>
      <c r="ET615" s="1493"/>
      <c r="EU615" s="1493"/>
      <c r="EV615" s="1494"/>
      <c r="EW615" s="1492" t="str">
        <f t="shared" si="22"/>
        <v/>
      </c>
      <c r="EX615" s="1493"/>
      <c r="EY615" s="1493"/>
      <c r="EZ615" s="1493"/>
      <c r="FA615" s="1494"/>
    </row>
    <row r="616" spans="1:157" ht="12.9" customHeight="1">
      <c r="AZ616" s="3"/>
      <c r="BA616" s="3"/>
      <c r="BB616" s="3"/>
      <c r="BC616" s="3"/>
      <c r="BD616" s="3"/>
      <c r="BE616" s="1492">
        <f t="shared" si="1"/>
        <v>0</v>
      </c>
      <c r="BF616" s="1494"/>
      <c r="BG616" s="1501">
        <f t="shared" si="2"/>
        <v>0</v>
      </c>
      <c r="BH616" s="1503"/>
      <c r="BI616" s="1492">
        <f t="shared" si="3"/>
        <v>0</v>
      </c>
      <c r="BJ616" s="1494"/>
      <c r="BK616" s="1501">
        <f t="shared" si="4"/>
        <v>0</v>
      </c>
      <c r="BL616" s="1503"/>
      <c r="BM616" s="3"/>
      <c r="BN616" s="1488">
        <f t="shared" si="5"/>
        <v>0</v>
      </c>
      <c r="BO616" s="1489"/>
      <c r="BP616" s="1489"/>
      <c r="BQ616" s="1489"/>
      <c r="BR616" s="1490"/>
      <c r="BS616" s="1495">
        <f t="shared" si="6"/>
        <v>0</v>
      </c>
      <c r="BT616" s="1495"/>
      <c r="BU616" s="1495"/>
      <c r="BV616" s="1495"/>
      <c r="BW616" s="1495"/>
      <c r="BX616" s="1495">
        <f t="shared" si="7"/>
        <v>0</v>
      </c>
      <c r="BY616" s="1495"/>
      <c r="BZ616" s="1495"/>
      <c r="CA616" s="1495"/>
      <c r="CB616" s="1495"/>
      <c r="CC616" s="1495">
        <f t="shared" si="8"/>
        <v>0</v>
      </c>
      <c r="CD616" s="1495"/>
      <c r="CE616" s="1495"/>
      <c r="CF616" s="1495"/>
      <c r="CG616" s="1495"/>
      <c r="CH616" s="1495">
        <f t="shared" si="9"/>
        <v>0</v>
      </c>
      <c r="CI616" s="1495"/>
      <c r="CJ616" s="1495"/>
      <c r="CK616" s="1495"/>
      <c r="CL616" s="1495"/>
      <c r="CM616" s="1495">
        <f t="shared" si="10"/>
        <v>0</v>
      </c>
      <c r="CN616" s="1495"/>
      <c r="CO616" s="1495"/>
      <c r="CP616" s="1495"/>
      <c r="CQ616" s="1495"/>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92" t="str">
        <f t="shared" si="17"/>
        <v/>
      </c>
      <c r="DY616" s="1493"/>
      <c r="DZ616" s="1493"/>
      <c r="EA616" s="1493"/>
      <c r="EB616" s="1494"/>
      <c r="EC616" s="1492" t="str">
        <f t="shared" si="18"/>
        <v/>
      </c>
      <c r="ED616" s="1493"/>
      <c r="EE616" s="1493"/>
      <c r="EF616" s="1493"/>
      <c r="EG616" s="1494"/>
      <c r="EH616" s="1492" t="str">
        <f t="shared" si="19"/>
        <v/>
      </c>
      <c r="EI616" s="1493"/>
      <c r="EJ616" s="1493"/>
      <c r="EK616" s="1493"/>
      <c r="EL616" s="1494"/>
      <c r="EM616" s="1492" t="str">
        <f t="shared" si="20"/>
        <v/>
      </c>
      <c r="EN616" s="1493"/>
      <c r="EO616" s="1493"/>
      <c r="EP616" s="1493"/>
      <c r="EQ616" s="1494"/>
      <c r="ER616" s="1492" t="str">
        <f t="shared" si="21"/>
        <v/>
      </c>
      <c r="ES616" s="1493"/>
      <c r="ET616" s="1493"/>
      <c r="EU616" s="1493"/>
      <c r="EV616" s="1494"/>
      <c r="EW616" s="1492" t="str">
        <f t="shared" si="22"/>
        <v/>
      </c>
      <c r="EX616" s="1493"/>
      <c r="EY616" s="1493"/>
      <c r="EZ616" s="1493"/>
      <c r="FA616" s="1494"/>
    </row>
    <row r="617" spans="1:157" ht="12.9"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2">
        <f t="shared" si="1"/>
        <v>0</v>
      </c>
      <c r="BF617" s="1494"/>
      <c r="BG617" s="1501">
        <f t="shared" si="2"/>
        <v>0</v>
      </c>
      <c r="BH617" s="1503"/>
      <c r="BI617" s="1492">
        <f t="shared" si="3"/>
        <v>0</v>
      </c>
      <c r="BJ617" s="1494"/>
      <c r="BK617" s="1501">
        <f t="shared" si="4"/>
        <v>0</v>
      </c>
      <c r="BL617" s="1503"/>
      <c r="BM617" s="3"/>
      <c r="BN617" s="1488">
        <f t="shared" si="5"/>
        <v>0</v>
      </c>
      <c r="BO617" s="1489"/>
      <c r="BP617" s="1489"/>
      <c r="BQ617" s="1489"/>
      <c r="BR617" s="1490"/>
      <c r="BS617" s="1495">
        <f t="shared" si="6"/>
        <v>0</v>
      </c>
      <c r="BT617" s="1495"/>
      <c r="BU617" s="1495"/>
      <c r="BV617" s="1495"/>
      <c r="BW617" s="1495"/>
      <c r="BX617" s="1495">
        <f t="shared" si="7"/>
        <v>0</v>
      </c>
      <c r="BY617" s="1495"/>
      <c r="BZ617" s="1495"/>
      <c r="CA617" s="1495"/>
      <c r="CB617" s="1495"/>
      <c r="CC617" s="1495">
        <f t="shared" si="8"/>
        <v>0</v>
      </c>
      <c r="CD617" s="1495"/>
      <c r="CE617" s="1495"/>
      <c r="CF617" s="1495"/>
      <c r="CG617" s="1495"/>
      <c r="CH617" s="1495">
        <f t="shared" si="9"/>
        <v>0</v>
      </c>
      <c r="CI617" s="1495"/>
      <c r="CJ617" s="1495"/>
      <c r="CK617" s="1495"/>
      <c r="CL617" s="1495"/>
      <c r="CM617" s="1495">
        <f t="shared" si="10"/>
        <v>0</v>
      </c>
      <c r="CN617" s="1495"/>
      <c r="CO617" s="1495"/>
      <c r="CP617" s="1495"/>
      <c r="CQ617" s="1495"/>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92" t="str">
        <f t="shared" si="17"/>
        <v/>
      </c>
      <c r="DY617" s="1493"/>
      <c r="DZ617" s="1493"/>
      <c r="EA617" s="1493"/>
      <c r="EB617" s="1494"/>
      <c r="EC617" s="1492" t="str">
        <f t="shared" si="18"/>
        <v/>
      </c>
      <c r="ED617" s="1493"/>
      <c r="EE617" s="1493"/>
      <c r="EF617" s="1493"/>
      <c r="EG617" s="1494"/>
      <c r="EH617" s="1492" t="str">
        <f t="shared" si="19"/>
        <v/>
      </c>
      <c r="EI617" s="1493"/>
      <c r="EJ617" s="1493"/>
      <c r="EK617" s="1493"/>
      <c r="EL617" s="1494"/>
      <c r="EM617" s="1492" t="str">
        <f t="shared" si="20"/>
        <v/>
      </c>
      <c r="EN617" s="1493"/>
      <c r="EO617" s="1493"/>
      <c r="EP617" s="1493"/>
      <c r="EQ617" s="1494"/>
      <c r="ER617" s="1492" t="str">
        <f t="shared" si="21"/>
        <v/>
      </c>
      <c r="ES617" s="1493"/>
      <c r="ET617" s="1493"/>
      <c r="EU617" s="1493"/>
      <c r="EV617" s="1494"/>
      <c r="EW617" s="1492" t="str">
        <f t="shared" si="22"/>
        <v/>
      </c>
      <c r="EX617" s="1493"/>
      <c r="EY617" s="1493"/>
      <c r="EZ617" s="1493"/>
      <c r="FA617" s="1494"/>
    </row>
    <row r="618" spans="1:157" ht="12.9"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2">
        <f t="shared" si="1"/>
        <v>0</v>
      </c>
      <c r="BF618" s="1494"/>
      <c r="BG618" s="1501">
        <f t="shared" si="2"/>
        <v>0</v>
      </c>
      <c r="BH618" s="1503"/>
      <c r="BI618" s="1492">
        <f t="shared" si="3"/>
        <v>0</v>
      </c>
      <c r="BJ618" s="1494"/>
      <c r="BK618" s="1501">
        <f t="shared" si="4"/>
        <v>0</v>
      </c>
      <c r="BL618" s="1503"/>
      <c r="BM618" s="3"/>
      <c r="BN618" s="1488">
        <f t="shared" si="5"/>
        <v>0</v>
      </c>
      <c r="BO618" s="1489"/>
      <c r="BP618" s="1489"/>
      <c r="BQ618" s="1489"/>
      <c r="BR618" s="1490"/>
      <c r="BS618" s="1495">
        <f t="shared" si="6"/>
        <v>0</v>
      </c>
      <c r="BT618" s="1495"/>
      <c r="BU618" s="1495"/>
      <c r="BV618" s="1495"/>
      <c r="BW618" s="1495"/>
      <c r="BX618" s="1495">
        <f t="shared" si="7"/>
        <v>0</v>
      </c>
      <c r="BY618" s="1495"/>
      <c r="BZ618" s="1495"/>
      <c r="CA618" s="1495"/>
      <c r="CB618" s="1495"/>
      <c r="CC618" s="1495">
        <f t="shared" si="8"/>
        <v>0</v>
      </c>
      <c r="CD618" s="1495"/>
      <c r="CE618" s="1495"/>
      <c r="CF618" s="1495"/>
      <c r="CG618" s="1495"/>
      <c r="CH618" s="1495">
        <f t="shared" si="9"/>
        <v>0</v>
      </c>
      <c r="CI618" s="1495"/>
      <c r="CJ618" s="1495"/>
      <c r="CK618" s="1495"/>
      <c r="CL618" s="1495"/>
      <c r="CM618" s="1495">
        <f t="shared" si="10"/>
        <v>0</v>
      </c>
      <c r="CN618" s="1495"/>
      <c r="CO618" s="1495"/>
      <c r="CP618" s="1495"/>
      <c r="CQ618" s="1495"/>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92" t="str">
        <f t="shared" si="17"/>
        <v/>
      </c>
      <c r="DY618" s="1493"/>
      <c r="DZ618" s="1493"/>
      <c r="EA618" s="1493"/>
      <c r="EB618" s="1494"/>
      <c r="EC618" s="1492" t="str">
        <f t="shared" si="18"/>
        <v/>
      </c>
      <c r="ED618" s="1493"/>
      <c r="EE618" s="1493"/>
      <c r="EF618" s="1493"/>
      <c r="EG618" s="1494"/>
      <c r="EH618" s="1492" t="str">
        <f t="shared" si="19"/>
        <v/>
      </c>
      <c r="EI618" s="1493"/>
      <c r="EJ618" s="1493"/>
      <c r="EK618" s="1493"/>
      <c r="EL618" s="1494"/>
      <c r="EM618" s="1492" t="str">
        <f t="shared" si="20"/>
        <v/>
      </c>
      <c r="EN618" s="1493"/>
      <c r="EO618" s="1493"/>
      <c r="EP618" s="1493"/>
      <c r="EQ618" s="1494"/>
      <c r="ER618" s="1492" t="str">
        <f t="shared" si="21"/>
        <v/>
      </c>
      <c r="ES618" s="1493"/>
      <c r="ET618" s="1493"/>
      <c r="EU618" s="1493"/>
      <c r="EV618" s="1494"/>
      <c r="EW618" s="1492" t="str">
        <f t="shared" si="22"/>
        <v/>
      </c>
      <c r="EX618" s="1493"/>
      <c r="EY618" s="1493"/>
      <c r="EZ618" s="1493"/>
      <c r="FA618" s="1494"/>
    </row>
    <row r="619" spans="1:157" ht="12.9" customHeight="1">
      <c r="AZ619" s="3"/>
      <c r="BA619" s="3"/>
      <c r="BB619" s="3"/>
      <c r="BC619" s="3"/>
      <c r="BD619" s="3"/>
      <c r="BE619" s="1492">
        <f t="shared" si="1"/>
        <v>0</v>
      </c>
      <c r="BF619" s="1494"/>
      <c r="BG619" s="1501">
        <f t="shared" si="2"/>
        <v>0</v>
      </c>
      <c r="BH619" s="1503"/>
      <c r="BI619" s="1492">
        <f t="shared" si="3"/>
        <v>0</v>
      </c>
      <c r="BJ619" s="1494"/>
      <c r="BK619" s="1501">
        <f t="shared" si="4"/>
        <v>0</v>
      </c>
      <c r="BL619" s="1503"/>
      <c r="BM619" s="3"/>
      <c r="BN619" s="1488">
        <f t="shared" si="5"/>
        <v>0</v>
      </c>
      <c r="BO619" s="1489"/>
      <c r="BP619" s="1489"/>
      <c r="BQ619" s="1489"/>
      <c r="BR619" s="1490"/>
      <c r="BS619" s="1495">
        <f t="shared" si="6"/>
        <v>0</v>
      </c>
      <c r="BT619" s="1495"/>
      <c r="BU619" s="1495"/>
      <c r="BV619" s="1495"/>
      <c r="BW619" s="1495"/>
      <c r="BX619" s="1495">
        <f t="shared" si="7"/>
        <v>0</v>
      </c>
      <c r="BY619" s="1495"/>
      <c r="BZ619" s="1495"/>
      <c r="CA619" s="1495"/>
      <c r="CB619" s="1495"/>
      <c r="CC619" s="1495">
        <f t="shared" si="8"/>
        <v>0</v>
      </c>
      <c r="CD619" s="1495"/>
      <c r="CE619" s="1495"/>
      <c r="CF619" s="1495"/>
      <c r="CG619" s="1495"/>
      <c r="CH619" s="1495">
        <f t="shared" si="9"/>
        <v>0</v>
      </c>
      <c r="CI619" s="1495"/>
      <c r="CJ619" s="1495"/>
      <c r="CK619" s="1495"/>
      <c r="CL619" s="1495"/>
      <c r="CM619" s="1495">
        <f t="shared" si="10"/>
        <v>0</v>
      </c>
      <c r="CN619" s="1495"/>
      <c r="CO619" s="1495"/>
      <c r="CP619" s="1495"/>
      <c r="CQ619" s="1495"/>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92" t="str">
        <f t="shared" si="17"/>
        <v/>
      </c>
      <c r="DY619" s="1493"/>
      <c r="DZ619" s="1493"/>
      <c r="EA619" s="1493"/>
      <c r="EB619" s="1494"/>
      <c r="EC619" s="1492" t="str">
        <f t="shared" si="18"/>
        <v/>
      </c>
      <c r="ED619" s="1493"/>
      <c r="EE619" s="1493"/>
      <c r="EF619" s="1493"/>
      <c r="EG619" s="1494"/>
      <c r="EH619" s="1492" t="str">
        <f t="shared" si="19"/>
        <v/>
      </c>
      <c r="EI619" s="1493"/>
      <c r="EJ619" s="1493"/>
      <c r="EK619" s="1493"/>
      <c r="EL619" s="1494"/>
      <c r="EM619" s="1492" t="str">
        <f t="shared" si="20"/>
        <v/>
      </c>
      <c r="EN619" s="1493"/>
      <c r="EO619" s="1493"/>
      <c r="EP619" s="1493"/>
      <c r="EQ619" s="1494"/>
      <c r="ER619" s="1492" t="str">
        <f t="shared" si="21"/>
        <v/>
      </c>
      <c r="ES619" s="1493"/>
      <c r="ET619" s="1493"/>
      <c r="EU619" s="1493"/>
      <c r="EV619" s="1494"/>
      <c r="EW619" s="1492" t="str">
        <f t="shared" si="22"/>
        <v/>
      </c>
      <c r="EX619" s="1493"/>
      <c r="EY619" s="1493"/>
      <c r="EZ619" s="1493"/>
      <c r="FA619" s="1494"/>
    </row>
    <row r="620" spans="1:157" ht="12.9" customHeight="1">
      <c r="A620" s="2" t="s">
        <v>320</v>
      </c>
      <c r="B620" s="2"/>
      <c r="C620" s="2" t="s">
        <v>21</v>
      </c>
      <c r="AZ620" s="3"/>
      <c r="BA620" s="3"/>
      <c r="BB620" s="3"/>
      <c r="BC620" s="3"/>
      <c r="BD620" s="3"/>
      <c r="BE620" s="1492">
        <f t="shared" si="1"/>
        <v>0</v>
      </c>
      <c r="BF620" s="1494"/>
      <c r="BG620" s="1501">
        <f t="shared" si="2"/>
        <v>0</v>
      </c>
      <c r="BH620" s="1503"/>
      <c r="BI620" s="1492">
        <f t="shared" si="3"/>
        <v>0</v>
      </c>
      <c r="BJ620" s="1494"/>
      <c r="BK620" s="1501">
        <f t="shared" si="4"/>
        <v>0</v>
      </c>
      <c r="BL620" s="1503"/>
      <c r="BM620" s="3"/>
      <c r="BN620" s="1488">
        <f t="shared" si="5"/>
        <v>0</v>
      </c>
      <c r="BO620" s="1489"/>
      <c r="BP620" s="1489"/>
      <c r="BQ620" s="1489"/>
      <c r="BR620" s="1490"/>
      <c r="BS620" s="1495">
        <f t="shared" si="6"/>
        <v>0</v>
      </c>
      <c r="BT620" s="1495"/>
      <c r="BU620" s="1495"/>
      <c r="BV620" s="1495"/>
      <c r="BW620" s="1495"/>
      <c r="BX620" s="1495">
        <f t="shared" si="7"/>
        <v>0</v>
      </c>
      <c r="BY620" s="1495"/>
      <c r="BZ620" s="1495"/>
      <c r="CA620" s="1495"/>
      <c r="CB620" s="1495"/>
      <c r="CC620" s="1495">
        <f t="shared" si="8"/>
        <v>0</v>
      </c>
      <c r="CD620" s="1495"/>
      <c r="CE620" s="1495"/>
      <c r="CF620" s="1495"/>
      <c r="CG620" s="1495"/>
      <c r="CH620" s="1495">
        <f t="shared" si="9"/>
        <v>0</v>
      </c>
      <c r="CI620" s="1495"/>
      <c r="CJ620" s="1495"/>
      <c r="CK620" s="1495"/>
      <c r="CL620" s="1495"/>
      <c r="CM620" s="1495">
        <f t="shared" si="10"/>
        <v>0</v>
      </c>
      <c r="CN620" s="1495"/>
      <c r="CO620" s="1495"/>
      <c r="CP620" s="1495"/>
      <c r="CQ620" s="1495"/>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92" t="str">
        <f t="shared" si="17"/>
        <v/>
      </c>
      <c r="DY620" s="1493"/>
      <c r="DZ620" s="1493"/>
      <c r="EA620" s="1493"/>
      <c r="EB620" s="1494"/>
      <c r="EC620" s="1492" t="str">
        <f t="shared" si="18"/>
        <v/>
      </c>
      <c r="ED620" s="1493"/>
      <c r="EE620" s="1493"/>
      <c r="EF620" s="1493"/>
      <c r="EG620" s="1494"/>
      <c r="EH620" s="1492" t="str">
        <f t="shared" si="19"/>
        <v/>
      </c>
      <c r="EI620" s="1493"/>
      <c r="EJ620" s="1493"/>
      <c r="EK620" s="1493"/>
      <c r="EL620" s="1494"/>
      <c r="EM620" s="1492" t="str">
        <f t="shared" si="20"/>
        <v/>
      </c>
      <c r="EN620" s="1493"/>
      <c r="EO620" s="1493"/>
      <c r="EP620" s="1493"/>
      <c r="EQ620" s="1494"/>
      <c r="ER620" s="1492" t="str">
        <f t="shared" si="21"/>
        <v/>
      </c>
      <c r="ES620" s="1493"/>
      <c r="ET620" s="1493"/>
      <c r="EU620" s="1493"/>
      <c r="EV620" s="1494"/>
      <c r="EW620" s="1492" t="str">
        <f t="shared" si="22"/>
        <v/>
      </c>
      <c r="EX620" s="1493"/>
      <c r="EY620" s="1493"/>
      <c r="EZ620" s="1493"/>
      <c r="FA620" s="1494"/>
    </row>
    <row r="621" spans="1:157" ht="12.9" customHeight="1">
      <c r="A621" s="2"/>
      <c r="B621" s="2"/>
      <c r="C621" s="2"/>
      <c r="AZ621" s="3"/>
      <c r="BA621" s="3"/>
      <c r="BB621" s="3"/>
      <c r="BC621" s="3"/>
      <c r="BD621" s="3"/>
      <c r="BE621" s="1492">
        <f t="shared" si="1"/>
        <v>0</v>
      </c>
      <c r="BF621" s="1494"/>
      <c r="BG621" s="1501">
        <f t="shared" si="2"/>
        <v>0</v>
      </c>
      <c r="BH621" s="1503"/>
      <c r="BI621" s="1492">
        <f t="shared" si="3"/>
        <v>0</v>
      </c>
      <c r="BJ621" s="1494"/>
      <c r="BK621" s="1501">
        <f t="shared" si="4"/>
        <v>0</v>
      </c>
      <c r="BL621" s="1503"/>
      <c r="BM621" s="3"/>
      <c r="BN621" s="1488">
        <f t="shared" si="5"/>
        <v>0</v>
      </c>
      <c r="BO621" s="1489"/>
      <c r="BP621" s="1489"/>
      <c r="BQ621" s="1489"/>
      <c r="BR621" s="1490"/>
      <c r="BS621" s="1495">
        <f t="shared" si="6"/>
        <v>0</v>
      </c>
      <c r="BT621" s="1495"/>
      <c r="BU621" s="1495"/>
      <c r="BV621" s="1495"/>
      <c r="BW621" s="1495"/>
      <c r="BX621" s="1495">
        <f t="shared" si="7"/>
        <v>0</v>
      </c>
      <c r="BY621" s="1495"/>
      <c r="BZ621" s="1495"/>
      <c r="CA621" s="1495"/>
      <c r="CB621" s="1495"/>
      <c r="CC621" s="1495">
        <f t="shared" si="8"/>
        <v>0</v>
      </c>
      <c r="CD621" s="1495"/>
      <c r="CE621" s="1495"/>
      <c r="CF621" s="1495"/>
      <c r="CG621" s="1495"/>
      <c r="CH621" s="1495">
        <f t="shared" si="9"/>
        <v>0</v>
      </c>
      <c r="CI621" s="1495"/>
      <c r="CJ621" s="1495"/>
      <c r="CK621" s="1495"/>
      <c r="CL621" s="1495"/>
      <c r="CM621" s="1495">
        <f t="shared" si="10"/>
        <v>0</v>
      </c>
      <c r="CN621" s="1495"/>
      <c r="CO621" s="1495"/>
      <c r="CP621" s="1495"/>
      <c r="CQ621" s="1495"/>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92" t="str">
        <f t="shared" si="17"/>
        <v/>
      </c>
      <c r="DY621" s="1493"/>
      <c r="DZ621" s="1493"/>
      <c r="EA621" s="1493"/>
      <c r="EB621" s="1494"/>
      <c r="EC621" s="1492" t="str">
        <f t="shared" si="18"/>
        <v/>
      </c>
      <c r="ED621" s="1493"/>
      <c r="EE621" s="1493"/>
      <c r="EF621" s="1493"/>
      <c r="EG621" s="1494"/>
      <c r="EH621" s="1492" t="str">
        <f t="shared" si="19"/>
        <v/>
      </c>
      <c r="EI621" s="1493"/>
      <c r="EJ621" s="1493"/>
      <c r="EK621" s="1493"/>
      <c r="EL621" s="1494"/>
      <c r="EM621" s="1492" t="str">
        <f t="shared" si="20"/>
        <v/>
      </c>
      <c r="EN621" s="1493"/>
      <c r="EO621" s="1493"/>
      <c r="EP621" s="1493"/>
      <c r="EQ621" s="1494"/>
      <c r="ER621" s="1492" t="str">
        <f t="shared" si="21"/>
        <v/>
      </c>
      <c r="ES621" s="1493"/>
      <c r="ET621" s="1493"/>
      <c r="EU621" s="1493"/>
      <c r="EV621" s="1494"/>
      <c r="EW621" s="1492" t="str">
        <f t="shared" si="22"/>
        <v/>
      </c>
      <c r="EX621" s="1493"/>
      <c r="EY621" s="1493"/>
      <c r="EZ621" s="1493"/>
      <c r="FA621" s="1494"/>
    </row>
    <row r="622" spans="1:157" ht="12.9" customHeight="1">
      <c r="C622" s="2" t="s">
        <v>2419</v>
      </c>
      <c r="AZ622" s="3"/>
      <c r="BA622" s="3"/>
      <c r="BB622" s="3"/>
      <c r="BC622" s="3"/>
      <c r="BD622" s="3"/>
      <c r="BE622" s="1492">
        <f t="shared" si="1"/>
        <v>0</v>
      </c>
      <c r="BF622" s="1494"/>
      <c r="BG622" s="1501">
        <f t="shared" si="2"/>
        <v>0</v>
      </c>
      <c r="BH622" s="1503"/>
      <c r="BI622" s="1492">
        <f t="shared" si="3"/>
        <v>0</v>
      </c>
      <c r="BJ622" s="1494"/>
      <c r="BK622" s="1501">
        <f t="shared" si="4"/>
        <v>0</v>
      </c>
      <c r="BL622" s="1503"/>
      <c r="BM622" s="3"/>
      <c r="BN622" s="1488">
        <f t="shared" si="5"/>
        <v>0</v>
      </c>
      <c r="BO622" s="1489"/>
      <c r="BP622" s="1489"/>
      <c r="BQ622" s="1489"/>
      <c r="BR622" s="1490"/>
      <c r="BS622" s="1495">
        <f t="shared" si="6"/>
        <v>0</v>
      </c>
      <c r="BT622" s="1495"/>
      <c r="BU622" s="1495"/>
      <c r="BV622" s="1495"/>
      <c r="BW622" s="1495"/>
      <c r="BX622" s="1495">
        <f t="shared" si="7"/>
        <v>0</v>
      </c>
      <c r="BY622" s="1495"/>
      <c r="BZ622" s="1495"/>
      <c r="CA622" s="1495"/>
      <c r="CB622" s="1495"/>
      <c r="CC622" s="1495">
        <f t="shared" si="8"/>
        <v>0</v>
      </c>
      <c r="CD622" s="1495"/>
      <c r="CE622" s="1495"/>
      <c r="CF622" s="1495"/>
      <c r="CG622" s="1495"/>
      <c r="CH622" s="1495">
        <f t="shared" si="9"/>
        <v>0</v>
      </c>
      <c r="CI622" s="1495"/>
      <c r="CJ622" s="1495"/>
      <c r="CK622" s="1495"/>
      <c r="CL622" s="1495"/>
      <c r="CM622" s="1495">
        <f t="shared" si="10"/>
        <v>0</v>
      </c>
      <c r="CN622" s="1495"/>
      <c r="CO622" s="1495"/>
      <c r="CP622" s="1495"/>
      <c r="CQ622" s="1495"/>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92" t="str">
        <f t="shared" si="17"/>
        <v/>
      </c>
      <c r="DY622" s="1493"/>
      <c r="DZ622" s="1493"/>
      <c r="EA622" s="1493"/>
      <c r="EB622" s="1494"/>
      <c r="EC622" s="1492" t="str">
        <f t="shared" si="18"/>
        <v/>
      </c>
      <c r="ED622" s="1493"/>
      <c r="EE622" s="1493"/>
      <c r="EF622" s="1493"/>
      <c r="EG622" s="1494"/>
      <c r="EH622" s="1492" t="str">
        <f t="shared" si="19"/>
        <v/>
      </c>
      <c r="EI622" s="1493"/>
      <c r="EJ622" s="1493"/>
      <c r="EK622" s="1493"/>
      <c r="EL622" s="1494"/>
      <c r="EM622" s="1492" t="str">
        <f t="shared" si="20"/>
        <v/>
      </c>
      <c r="EN622" s="1493"/>
      <c r="EO622" s="1493"/>
      <c r="EP622" s="1493"/>
      <c r="EQ622" s="1494"/>
      <c r="ER622" s="1492" t="str">
        <f t="shared" si="21"/>
        <v/>
      </c>
      <c r="ES622" s="1493"/>
      <c r="ET622" s="1493"/>
      <c r="EU622" s="1493"/>
      <c r="EV622" s="1494"/>
      <c r="EW622" s="1492" t="str">
        <f t="shared" si="22"/>
        <v/>
      </c>
      <c r="EX622" s="1493"/>
      <c r="EY622" s="1493"/>
      <c r="EZ622" s="1493"/>
      <c r="FA622" s="1494"/>
    </row>
    <row r="623" spans="1:157" ht="12.9" customHeight="1">
      <c r="B623" s="546"/>
      <c r="C623" s="2"/>
      <c r="AU623" s="3"/>
      <c r="AZ623" s="3"/>
      <c r="BA623" s="3"/>
      <c r="BB623" s="3"/>
      <c r="BC623" s="3"/>
      <c r="BD623" s="3"/>
      <c r="BE623" s="1492">
        <f t="shared" si="1"/>
        <v>0</v>
      </c>
      <c r="BF623" s="1494"/>
      <c r="BG623" s="1501">
        <f t="shared" si="2"/>
        <v>0</v>
      </c>
      <c r="BH623" s="1503"/>
      <c r="BI623" s="1492">
        <f t="shared" si="3"/>
        <v>0</v>
      </c>
      <c r="BJ623" s="1494"/>
      <c r="BK623" s="1501">
        <f t="shared" si="4"/>
        <v>0</v>
      </c>
      <c r="BL623" s="1503"/>
      <c r="BM623" s="3"/>
      <c r="BN623" s="1488">
        <f t="shared" si="5"/>
        <v>0</v>
      </c>
      <c r="BO623" s="1489"/>
      <c r="BP623" s="1489"/>
      <c r="BQ623" s="1489"/>
      <c r="BR623" s="1490"/>
      <c r="BS623" s="1495">
        <f t="shared" si="6"/>
        <v>0</v>
      </c>
      <c r="BT623" s="1495"/>
      <c r="BU623" s="1495"/>
      <c r="BV623" s="1495"/>
      <c r="BW623" s="1495"/>
      <c r="BX623" s="1495">
        <f t="shared" si="7"/>
        <v>0</v>
      </c>
      <c r="BY623" s="1495"/>
      <c r="BZ623" s="1495"/>
      <c r="CA623" s="1495"/>
      <c r="CB623" s="1495"/>
      <c r="CC623" s="1495">
        <f t="shared" si="8"/>
        <v>0</v>
      </c>
      <c r="CD623" s="1495"/>
      <c r="CE623" s="1495"/>
      <c r="CF623" s="1495"/>
      <c r="CG623" s="1495"/>
      <c r="CH623" s="1495">
        <f t="shared" si="9"/>
        <v>0</v>
      </c>
      <c r="CI623" s="1495"/>
      <c r="CJ623" s="1495"/>
      <c r="CK623" s="1495"/>
      <c r="CL623" s="1495"/>
      <c r="CM623" s="1495">
        <f t="shared" si="10"/>
        <v>0</v>
      </c>
      <c r="CN623" s="1495"/>
      <c r="CO623" s="1495"/>
      <c r="CP623" s="1495"/>
      <c r="CQ623" s="1495"/>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92" t="str">
        <f t="shared" si="17"/>
        <v/>
      </c>
      <c r="DY623" s="1493"/>
      <c r="DZ623" s="1493"/>
      <c r="EA623" s="1493"/>
      <c r="EB623" s="1494"/>
      <c r="EC623" s="1492" t="str">
        <f t="shared" si="18"/>
        <v/>
      </c>
      <c r="ED623" s="1493"/>
      <c r="EE623" s="1493"/>
      <c r="EF623" s="1493"/>
      <c r="EG623" s="1494"/>
      <c r="EH623" s="1492" t="str">
        <f t="shared" si="19"/>
        <v/>
      </c>
      <c r="EI623" s="1493"/>
      <c r="EJ623" s="1493"/>
      <c r="EK623" s="1493"/>
      <c r="EL623" s="1494"/>
      <c r="EM623" s="1492" t="str">
        <f t="shared" si="20"/>
        <v/>
      </c>
      <c r="EN623" s="1493"/>
      <c r="EO623" s="1493"/>
      <c r="EP623" s="1493"/>
      <c r="EQ623" s="1494"/>
      <c r="ER623" s="1492" t="str">
        <f t="shared" si="21"/>
        <v/>
      </c>
      <c r="ES623" s="1493"/>
      <c r="ET623" s="1493"/>
      <c r="EU623" s="1493"/>
      <c r="EV623" s="1494"/>
      <c r="EW623" s="1492" t="str">
        <f t="shared" si="22"/>
        <v/>
      </c>
      <c r="EX623" s="1493"/>
      <c r="EY623" s="1493"/>
      <c r="EZ623" s="1493"/>
      <c r="FA623" s="1494"/>
    </row>
    <row r="624" spans="1:157" ht="12.9" customHeight="1">
      <c r="B624" s="1766" t="s">
        <v>2421</v>
      </c>
      <c r="C624" s="1766"/>
      <c r="D624" s="1766"/>
      <c r="E624" s="1766"/>
      <c r="F624" s="1766"/>
      <c r="G624" s="1766"/>
      <c r="H624" s="1766"/>
      <c r="I624" s="1766"/>
      <c r="J624" s="1766"/>
      <c r="K624" s="1766"/>
      <c r="L624" s="1766"/>
      <c r="M624" s="1513" t="s">
        <v>2422</v>
      </c>
      <c r="N624" s="1513"/>
      <c r="O624" s="1513"/>
      <c r="P624" s="1513"/>
      <c r="Q624" s="1513" t="s">
        <v>2043</v>
      </c>
      <c r="R624" s="1513"/>
      <c r="S624" s="1513"/>
      <c r="T624" s="1513" t="s">
        <v>2041</v>
      </c>
      <c r="U624" s="1513"/>
      <c r="V624" s="1513"/>
      <c r="W624" s="1461" t="s">
        <v>462</v>
      </c>
      <c r="X624" s="1461"/>
      <c r="Y624" s="1461"/>
      <c r="Z624" s="1507" t="s">
        <v>2451</v>
      </c>
      <c r="AA624" s="1507"/>
      <c r="AB624" s="1508"/>
      <c r="AC624" s="1724" t="s">
        <v>1864</v>
      </c>
      <c r="AD624" s="1725"/>
      <c r="AE624" s="1726"/>
      <c r="AF624" s="1712" t="s">
        <v>2230</v>
      </c>
      <c r="AG624" s="1507"/>
      <c r="AH624" s="1507"/>
      <c r="AI624" s="1507"/>
      <c r="AJ624" s="1508"/>
      <c r="AK624" s="1475" t="s">
        <v>2231</v>
      </c>
      <c r="AL624" s="1476"/>
      <c r="AM624" s="1476"/>
      <c r="AN624" s="1477"/>
      <c r="AO624" s="1513" t="s">
        <v>463</v>
      </c>
      <c r="AP624" s="1513"/>
      <c r="AQ624" s="1513"/>
      <c r="AR624" s="1513"/>
      <c r="AS624" s="1513"/>
      <c r="AU624" s="3"/>
      <c r="AZ624" s="3"/>
      <c r="BA624" s="3"/>
      <c r="BB624" s="3"/>
      <c r="BC624" s="3"/>
      <c r="BD624" s="3"/>
      <c r="BE624" s="1492">
        <f t="shared" si="1"/>
        <v>0</v>
      </c>
      <c r="BF624" s="1494"/>
      <c r="BG624" s="1501">
        <f t="shared" si="2"/>
        <v>0</v>
      </c>
      <c r="BH624" s="1503"/>
      <c r="BI624" s="1492">
        <f t="shared" si="3"/>
        <v>0</v>
      </c>
      <c r="BJ624" s="1494"/>
      <c r="BK624" s="1501">
        <f t="shared" si="4"/>
        <v>0</v>
      </c>
      <c r="BL624" s="1503"/>
      <c r="BM624" s="3"/>
      <c r="BN624" s="1488">
        <f t="shared" si="5"/>
        <v>0</v>
      </c>
      <c r="BO624" s="1489"/>
      <c r="BP624" s="1489"/>
      <c r="BQ624" s="1489"/>
      <c r="BR624" s="1490"/>
      <c r="BS624" s="1495">
        <f t="shared" si="6"/>
        <v>0</v>
      </c>
      <c r="BT624" s="1495"/>
      <c r="BU624" s="1495"/>
      <c r="BV624" s="1495"/>
      <c r="BW624" s="1495"/>
      <c r="BX624" s="1495">
        <f t="shared" si="7"/>
        <v>0</v>
      </c>
      <c r="BY624" s="1495"/>
      <c r="BZ624" s="1495"/>
      <c r="CA624" s="1495"/>
      <c r="CB624" s="1495"/>
      <c r="CC624" s="1495">
        <f t="shared" si="8"/>
        <v>0</v>
      </c>
      <c r="CD624" s="1495"/>
      <c r="CE624" s="1495"/>
      <c r="CF624" s="1495"/>
      <c r="CG624" s="1495"/>
      <c r="CH624" s="1495">
        <f t="shared" si="9"/>
        <v>0</v>
      </c>
      <c r="CI624" s="1495"/>
      <c r="CJ624" s="1495"/>
      <c r="CK624" s="1495"/>
      <c r="CL624" s="1495"/>
      <c r="CM624" s="1495">
        <f t="shared" si="10"/>
        <v>0</v>
      </c>
      <c r="CN624" s="1495"/>
      <c r="CO624" s="1495"/>
      <c r="CP624" s="1495"/>
      <c r="CQ624" s="1495"/>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92" t="str">
        <f t="shared" si="17"/>
        <v/>
      </c>
      <c r="DY624" s="1493"/>
      <c r="DZ624" s="1493"/>
      <c r="EA624" s="1493"/>
      <c r="EB624" s="1494"/>
      <c r="EC624" s="1492" t="str">
        <f t="shared" si="18"/>
        <v/>
      </c>
      <c r="ED624" s="1493"/>
      <c r="EE624" s="1493"/>
      <c r="EF624" s="1493"/>
      <c r="EG624" s="1494"/>
      <c r="EH624" s="1492" t="str">
        <f t="shared" si="19"/>
        <v/>
      </c>
      <c r="EI624" s="1493"/>
      <c r="EJ624" s="1493"/>
      <c r="EK624" s="1493"/>
      <c r="EL624" s="1494"/>
      <c r="EM624" s="1492" t="str">
        <f t="shared" si="20"/>
        <v/>
      </c>
      <c r="EN624" s="1493"/>
      <c r="EO624" s="1493"/>
      <c r="EP624" s="1493"/>
      <c r="EQ624" s="1494"/>
      <c r="ER624" s="1492" t="str">
        <f t="shared" si="21"/>
        <v/>
      </c>
      <c r="ES624" s="1493"/>
      <c r="ET624" s="1493"/>
      <c r="EU624" s="1493"/>
      <c r="EV624" s="1494"/>
      <c r="EW624" s="1492" t="str">
        <f t="shared" si="22"/>
        <v/>
      </c>
      <c r="EX624" s="1493"/>
      <c r="EY624" s="1493"/>
      <c r="EZ624" s="1493"/>
      <c r="FA624" s="1494"/>
    </row>
    <row r="625" spans="2:157" ht="12.9" customHeight="1">
      <c r="B625" s="1766"/>
      <c r="C625" s="1766"/>
      <c r="D625" s="1766"/>
      <c r="E625" s="1766"/>
      <c r="F625" s="1766"/>
      <c r="G625" s="1766"/>
      <c r="H625" s="1766"/>
      <c r="I625" s="1766"/>
      <c r="J625" s="1766"/>
      <c r="K625" s="1766"/>
      <c r="L625" s="1766"/>
      <c r="M625" s="1513"/>
      <c r="N625" s="1513"/>
      <c r="O625" s="1513"/>
      <c r="P625" s="1513"/>
      <c r="Q625" s="1513"/>
      <c r="R625" s="1513"/>
      <c r="S625" s="1513"/>
      <c r="T625" s="1513"/>
      <c r="U625" s="1513"/>
      <c r="V625" s="1513"/>
      <c r="W625" s="1461"/>
      <c r="X625" s="1461"/>
      <c r="Y625" s="1461"/>
      <c r="Z625" s="1509"/>
      <c r="AA625" s="1509"/>
      <c r="AB625" s="1510"/>
      <c r="AC625" s="1727"/>
      <c r="AD625" s="1728"/>
      <c r="AE625" s="1729"/>
      <c r="AF625" s="1713"/>
      <c r="AG625" s="1509"/>
      <c r="AH625" s="1509"/>
      <c r="AI625" s="1509"/>
      <c r="AJ625" s="1510"/>
      <c r="AK625" s="1478"/>
      <c r="AL625" s="1479"/>
      <c r="AM625" s="1479"/>
      <c r="AN625" s="1480"/>
      <c r="AO625" s="1513"/>
      <c r="AP625" s="1513"/>
      <c r="AQ625" s="1513"/>
      <c r="AR625" s="1513"/>
      <c r="AS625" s="1513"/>
      <c r="AU625" s="3"/>
      <c r="AZ625" s="3"/>
      <c r="BA625" s="3"/>
      <c r="BB625" s="3"/>
      <c r="BC625" s="3"/>
      <c r="BD625" s="3"/>
      <c r="BE625" s="1492">
        <f t="shared" si="1"/>
        <v>0</v>
      </c>
      <c r="BF625" s="1494"/>
      <c r="BG625" s="1501">
        <f t="shared" si="2"/>
        <v>0</v>
      </c>
      <c r="BH625" s="1503"/>
      <c r="BI625" s="1492">
        <f t="shared" si="3"/>
        <v>0</v>
      </c>
      <c r="BJ625" s="1494"/>
      <c r="BK625" s="1501">
        <f t="shared" si="4"/>
        <v>0</v>
      </c>
      <c r="BL625" s="1503"/>
      <c r="BM625" s="3"/>
      <c r="BN625" s="1488">
        <f t="shared" si="5"/>
        <v>0</v>
      </c>
      <c r="BO625" s="1489"/>
      <c r="BP625" s="1489"/>
      <c r="BQ625" s="1489"/>
      <c r="BR625" s="1490"/>
      <c r="BS625" s="1495">
        <f t="shared" si="6"/>
        <v>0</v>
      </c>
      <c r="BT625" s="1495"/>
      <c r="BU625" s="1495"/>
      <c r="BV625" s="1495"/>
      <c r="BW625" s="1495"/>
      <c r="BX625" s="1495">
        <f t="shared" si="7"/>
        <v>0</v>
      </c>
      <c r="BY625" s="1495"/>
      <c r="BZ625" s="1495"/>
      <c r="CA625" s="1495"/>
      <c r="CB625" s="1495"/>
      <c r="CC625" s="1495">
        <f t="shared" si="8"/>
        <v>0</v>
      </c>
      <c r="CD625" s="1495"/>
      <c r="CE625" s="1495"/>
      <c r="CF625" s="1495"/>
      <c r="CG625" s="1495"/>
      <c r="CH625" s="1495">
        <f t="shared" si="9"/>
        <v>0</v>
      </c>
      <c r="CI625" s="1495"/>
      <c r="CJ625" s="1495"/>
      <c r="CK625" s="1495"/>
      <c r="CL625" s="1495"/>
      <c r="CM625" s="1495">
        <f t="shared" si="10"/>
        <v>0</v>
      </c>
      <c r="CN625" s="1495"/>
      <c r="CO625" s="1495"/>
      <c r="CP625" s="1495"/>
      <c r="CQ625" s="1495"/>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92" t="str">
        <f t="shared" si="17"/>
        <v/>
      </c>
      <c r="DY625" s="1493"/>
      <c r="DZ625" s="1493"/>
      <c r="EA625" s="1493"/>
      <c r="EB625" s="1494"/>
      <c r="EC625" s="1492" t="str">
        <f t="shared" si="18"/>
        <v/>
      </c>
      <c r="ED625" s="1493"/>
      <c r="EE625" s="1493"/>
      <c r="EF625" s="1493"/>
      <c r="EG625" s="1494"/>
      <c r="EH625" s="1492" t="str">
        <f t="shared" si="19"/>
        <v/>
      </c>
      <c r="EI625" s="1493"/>
      <c r="EJ625" s="1493"/>
      <c r="EK625" s="1493"/>
      <c r="EL625" s="1494"/>
      <c r="EM625" s="1492" t="str">
        <f t="shared" si="20"/>
        <v/>
      </c>
      <c r="EN625" s="1493"/>
      <c r="EO625" s="1493"/>
      <c r="EP625" s="1493"/>
      <c r="EQ625" s="1494"/>
      <c r="ER625" s="1492" t="str">
        <f t="shared" si="21"/>
        <v/>
      </c>
      <c r="ES625" s="1493"/>
      <c r="ET625" s="1493"/>
      <c r="EU625" s="1493"/>
      <c r="EV625" s="1494"/>
      <c r="EW625" s="1492" t="str">
        <f t="shared" si="22"/>
        <v/>
      </c>
      <c r="EX625" s="1493"/>
      <c r="EY625" s="1493"/>
      <c r="EZ625" s="1493"/>
      <c r="FA625" s="1494"/>
    </row>
    <row r="626" spans="2:157" ht="12.9" customHeight="1">
      <c r="B626" s="1766"/>
      <c r="C626" s="1766"/>
      <c r="D626" s="1766"/>
      <c r="E626" s="1766"/>
      <c r="F626" s="1766"/>
      <c r="G626" s="1766"/>
      <c r="H626" s="1766"/>
      <c r="I626" s="1766"/>
      <c r="J626" s="1766"/>
      <c r="K626" s="1766"/>
      <c r="L626" s="1766"/>
      <c r="M626" s="1513"/>
      <c r="N626" s="1513"/>
      <c r="O626" s="1513"/>
      <c r="P626" s="1513"/>
      <c r="Q626" s="1513"/>
      <c r="R626" s="1513"/>
      <c r="S626" s="1513"/>
      <c r="T626" s="1513"/>
      <c r="U626" s="1513"/>
      <c r="V626" s="1513"/>
      <c r="W626" s="1461"/>
      <c r="X626" s="1461"/>
      <c r="Y626" s="1461"/>
      <c r="Z626" s="1511"/>
      <c r="AA626" s="1511"/>
      <c r="AB626" s="1512"/>
      <c r="AC626" s="1730"/>
      <c r="AD626" s="1731"/>
      <c r="AE626" s="1732"/>
      <c r="AF626" s="1714"/>
      <c r="AG626" s="1511"/>
      <c r="AH626" s="1511"/>
      <c r="AI626" s="1511"/>
      <c r="AJ626" s="1512"/>
      <c r="AK626" s="1481"/>
      <c r="AL626" s="1482"/>
      <c r="AM626" s="1482"/>
      <c r="AN626" s="1483"/>
      <c r="AO626" s="1513"/>
      <c r="AP626" s="1513"/>
      <c r="AQ626" s="1513"/>
      <c r="AR626" s="1513"/>
      <c r="AS626" s="1513"/>
      <c r="AT626" s="3"/>
      <c r="AU626" s="3"/>
      <c r="AZ626" s="3"/>
      <c r="BA626" s="3"/>
      <c r="BB626" s="3"/>
      <c r="BC626" s="3"/>
      <c r="BD626" s="3"/>
      <c r="BE626" s="1492">
        <f t="shared" si="1"/>
        <v>0</v>
      </c>
      <c r="BF626" s="1494"/>
      <c r="BG626" s="1501">
        <f t="shared" si="2"/>
        <v>0</v>
      </c>
      <c r="BH626" s="1503"/>
      <c r="BI626" s="1492">
        <f t="shared" si="3"/>
        <v>0</v>
      </c>
      <c r="BJ626" s="1494"/>
      <c r="BK626" s="1501">
        <f t="shared" si="4"/>
        <v>0</v>
      </c>
      <c r="BL626" s="1503"/>
      <c r="BM626" s="3"/>
      <c r="BN626" s="1488">
        <f t="shared" si="5"/>
        <v>0</v>
      </c>
      <c r="BO626" s="1489"/>
      <c r="BP626" s="1489"/>
      <c r="BQ626" s="1489"/>
      <c r="BR626" s="1490"/>
      <c r="BS626" s="1495">
        <f t="shared" si="6"/>
        <v>0</v>
      </c>
      <c r="BT626" s="1495"/>
      <c r="BU626" s="1495"/>
      <c r="BV626" s="1495"/>
      <c r="BW626" s="1495"/>
      <c r="BX626" s="1495">
        <f t="shared" si="7"/>
        <v>0</v>
      </c>
      <c r="BY626" s="1495"/>
      <c r="BZ626" s="1495"/>
      <c r="CA626" s="1495"/>
      <c r="CB626" s="1495"/>
      <c r="CC626" s="1495">
        <f t="shared" si="8"/>
        <v>0</v>
      </c>
      <c r="CD626" s="1495"/>
      <c r="CE626" s="1495"/>
      <c r="CF626" s="1495"/>
      <c r="CG626" s="1495"/>
      <c r="CH626" s="1495">
        <f t="shared" si="9"/>
        <v>0</v>
      </c>
      <c r="CI626" s="1495"/>
      <c r="CJ626" s="1495"/>
      <c r="CK626" s="1495"/>
      <c r="CL626" s="1495"/>
      <c r="CM626" s="1495">
        <f t="shared" si="10"/>
        <v>0</v>
      </c>
      <c r="CN626" s="1495"/>
      <c r="CO626" s="1495"/>
      <c r="CP626" s="1495"/>
      <c r="CQ626" s="1495"/>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92" t="str">
        <f t="shared" si="17"/>
        <v/>
      </c>
      <c r="DY626" s="1493"/>
      <c r="DZ626" s="1493"/>
      <c r="EA626" s="1493"/>
      <c r="EB626" s="1494"/>
      <c r="EC626" s="1492" t="str">
        <f t="shared" si="18"/>
        <v/>
      </c>
      <c r="ED626" s="1493"/>
      <c r="EE626" s="1493"/>
      <c r="EF626" s="1493"/>
      <c r="EG626" s="1494"/>
      <c r="EH626" s="1492" t="str">
        <f t="shared" si="19"/>
        <v/>
      </c>
      <c r="EI626" s="1493"/>
      <c r="EJ626" s="1493"/>
      <c r="EK626" s="1493"/>
      <c r="EL626" s="1494"/>
      <c r="EM626" s="1492" t="str">
        <f t="shared" si="20"/>
        <v/>
      </c>
      <c r="EN626" s="1493"/>
      <c r="EO626" s="1493"/>
      <c r="EP626" s="1493"/>
      <c r="EQ626" s="1494"/>
      <c r="ER626" s="1492" t="str">
        <f t="shared" si="21"/>
        <v/>
      </c>
      <c r="ES626" s="1493"/>
      <c r="ET626" s="1493"/>
      <c r="EU626" s="1493"/>
      <c r="EV626" s="1494"/>
      <c r="EW626" s="1492" t="str">
        <f t="shared" si="22"/>
        <v/>
      </c>
      <c r="EX626" s="1493"/>
      <c r="EY626" s="1493"/>
      <c r="EZ626" s="1493"/>
      <c r="FA626" s="1494"/>
    </row>
    <row r="627" spans="2:157" ht="12.9" customHeight="1">
      <c r="B627" s="51" t="s">
        <v>112</v>
      </c>
      <c r="C627" s="1722" t="s">
        <v>2764</v>
      </c>
      <c r="D627" s="1722"/>
      <c r="E627" s="1722"/>
      <c r="F627" s="1722"/>
      <c r="G627" s="1722"/>
      <c r="H627" s="1722"/>
      <c r="I627" s="1722"/>
      <c r="J627" s="1722"/>
      <c r="K627" s="1722"/>
      <c r="L627" s="1722"/>
      <c r="M627" s="1460" t="s">
        <v>2438</v>
      </c>
      <c r="N627" s="1460"/>
      <c r="O627" s="1460"/>
      <c r="P627" s="1460"/>
      <c r="Q627" s="1463">
        <f>17*12</f>
        <v>204</v>
      </c>
      <c r="R627" s="1463"/>
      <c r="S627" s="1464"/>
      <c r="T627" s="1462">
        <f>30*12</f>
        <v>360</v>
      </c>
      <c r="U627" s="1463"/>
      <c r="V627" s="1464"/>
      <c r="W627" s="1450">
        <f>[1]EVERYTHING!$I$5</f>
        <v>7.0000000000000007E-2</v>
      </c>
      <c r="X627" s="1451"/>
      <c r="Y627" s="1452"/>
      <c r="Z627" s="1504" t="s">
        <v>2450</v>
      </c>
      <c r="AA627" s="1505"/>
      <c r="AB627" s="1506"/>
      <c r="AC627" s="1434">
        <v>1</v>
      </c>
      <c r="AD627" s="1435"/>
      <c r="AE627" s="1436"/>
      <c r="AF627" s="1465">
        <f>[2]EVERYTHING!$AC$56</f>
        <v>429519.29088768072</v>
      </c>
      <c r="AG627" s="1466"/>
      <c r="AH627" s="1466"/>
      <c r="AI627" s="1466"/>
      <c r="AJ627" s="1467"/>
      <c r="AK627" s="1446"/>
      <c r="AL627" s="1447"/>
      <c r="AM627" s="1447"/>
      <c r="AN627" s="1448"/>
      <c r="AO627" s="1559">
        <f>[2]EVERYTHING!$H$5</f>
        <v>5380000</v>
      </c>
      <c r="AP627" s="1559"/>
      <c r="AQ627" s="1559"/>
      <c r="AR627" s="1559"/>
      <c r="AS627" s="1559"/>
      <c r="AT627" s="3"/>
      <c r="AU627" s="3"/>
      <c r="AZ627" s="3"/>
      <c r="BA627" s="3"/>
      <c r="BB627" s="3"/>
      <c r="BC627" s="3"/>
      <c r="BD627" s="3"/>
      <c r="BE627" s="1492">
        <f t="shared" si="1"/>
        <v>0</v>
      </c>
      <c r="BF627" s="1494"/>
      <c r="BG627" s="1501">
        <f t="shared" si="2"/>
        <v>0</v>
      </c>
      <c r="BH627" s="1503"/>
      <c r="BI627" s="1492">
        <f t="shared" si="3"/>
        <v>0</v>
      </c>
      <c r="BJ627" s="1494"/>
      <c r="BK627" s="1501">
        <f t="shared" si="4"/>
        <v>0</v>
      </c>
      <c r="BL627" s="1503"/>
      <c r="BM627" s="3"/>
      <c r="BN627" s="1488">
        <f t="shared" si="5"/>
        <v>0</v>
      </c>
      <c r="BO627" s="1489"/>
      <c r="BP627" s="1489"/>
      <c r="BQ627" s="1489"/>
      <c r="BR627" s="1490"/>
      <c r="BS627" s="1495">
        <f t="shared" si="6"/>
        <v>0</v>
      </c>
      <c r="BT627" s="1495"/>
      <c r="BU627" s="1495"/>
      <c r="BV627" s="1495"/>
      <c r="BW627" s="1495"/>
      <c r="BX627" s="1495">
        <f t="shared" si="7"/>
        <v>0</v>
      </c>
      <c r="BY627" s="1495"/>
      <c r="BZ627" s="1495"/>
      <c r="CA627" s="1495"/>
      <c r="CB627" s="1495"/>
      <c r="CC627" s="1495">
        <f t="shared" si="8"/>
        <v>0</v>
      </c>
      <c r="CD627" s="1495"/>
      <c r="CE627" s="1495"/>
      <c r="CF627" s="1495"/>
      <c r="CG627" s="1495"/>
      <c r="CH627" s="1495">
        <f t="shared" si="9"/>
        <v>0</v>
      </c>
      <c r="CI627" s="1495"/>
      <c r="CJ627" s="1495"/>
      <c r="CK627" s="1495"/>
      <c r="CL627" s="1495"/>
      <c r="CM627" s="1495">
        <f t="shared" si="10"/>
        <v>0</v>
      </c>
      <c r="CN627" s="1495"/>
      <c r="CO627" s="1495"/>
      <c r="CP627" s="1495"/>
      <c r="CQ627" s="1495"/>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92" t="str">
        <f t="shared" si="17"/>
        <v/>
      </c>
      <c r="DY627" s="1493"/>
      <c r="DZ627" s="1493"/>
      <c r="EA627" s="1493"/>
      <c r="EB627" s="1494"/>
      <c r="EC627" s="1492" t="str">
        <f t="shared" si="18"/>
        <v/>
      </c>
      <c r="ED627" s="1493"/>
      <c r="EE627" s="1493"/>
      <c r="EF627" s="1493"/>
      <c r="EG627" s="1494"/>
      <c r="EH627" s="1492" t="str">
        <f t="shared" si="19"/>
        <v/>
      </c>
      <c r="EI627" s="1493"/>
      <c r="EJ627" s="1493"/>
      <c r="EK627" s="1493"/>
      <c r="EL627" s="1494"/>
      <c r="EM627" s="1492" t="str">
        <f t="shared" si="20"/>
        <v/>
      </c>
      <c r="EN627" s="1493"/>
      <c r="EO627" s="1493"/>
      <c r="EP627" s="1493"/>
      <c r="EQ627" s="1494"/>
      <c r="ER627" s="1492" t="str">
        <f t="shared" si="21"/>
        <v/>
      </c>
      <c r="ES627" s="1493"/>
      <c r="ET627" s="1493"/>
      <c r="EU627" s="1493"/>
      <c r="EV627" s="1494"/>
      <c r="EW627" s="1492" t="str">
        <f t="shared" si="22"/>
        <v/>
      </c>
      <c r="EX627" s="1493"/>
      <c r="EY627" s="1493"/>
      <c r="EZ627" s="1493"/>
      <c r="FA627" s="1494"/>
    </row>
    <row r="628" spans="2:157" ht="12.9" customHeight="1">
      <c r="B628" s="52" t="s">
        <v>113</v>
      </c>
      <c r="C628" s="1722" t="s">
        <v>2751</v>
      </c>
      <c r="D628" s="1722"/>
      <c r="E628" s="1722"/>
      <c r="F628" s="1722"/>
      <c r="G628" s="1722"/>
      <c r="H628" s="1722"/>
      <c r="I628" s="1722"/>
      <c r="J628" s="1722"/>
      <c r="K628" s="1722"/>
      <c r="L628" s="1722"/>
      <c r="M628" s="1460" t="s">
        <v>2434</v>
      </c>
      <c r="N628" s="1460"/>
      <c r="O628" s="1460"/>
      <c r="P628" s="1460"/>
      <c r="Q628" s="1462">
        <v>660</v>
      </c>
      <c r="R628" s="1463"/>
      <c r="S628" s="1464"/>
      <c r="T628" s="1462"/>
      <c r="U628" s="1463"/>
      <c r="V628" s="1464"/>
      <c r="W628" s="1450">
        <v>0.03</v>
      </c>
      <c r="X628" s="1451"/>
      <c r="Y628" s="1452"/>
      <c r="Z628" s="1504" t="s">
        <v>466</v>
      </c>
      <c r="AA628" s="1505"/>
      <c r="AB628" s="1506"/>
      <c r="AC628" s="1434">
        <v>3</v>
      </c>
      <c r="AD628" s="1435"/>
      <c r="AE628" s="1436"/>
      <c r="AF628" s="1465"/>
      <c r="AG628" s="1466"/>
      <c r="AH628" s="1466"/>
      <c r="AI628" s="1466"/>
      <c r="AJ628" s="1467"/>
      <c r="AK628" s="1446"/>
      <c r="AL628" s="1447"/>
      <c r="AM628" s="1447"/>
      <c r="AN628" s="1448"/>
      <c r="AO628" s="1514">
        <f>[2]EVERYTHING!$H$9</f>
        <v>14531301</v>
      </c>
      <c r="AP628" s="1515"/>
      <c r="AQ628" s="1515"/>
      <c r="AR628" s="1515"/>
      <c r="AS628" s="1516"/>
      <c r="AT628" s="1192" t="str">
        <f>IF(AND(NOT(C627=""),C628="",NOT(C629="")),"!","")</f>
        <v/>
      </c>
      <c r="AU628" s="3"/>
      <c r="AZ628" s="3"/>
      <c r="BA628" s="3"/>
      <c r="BB628" s="3"/>
      <c r="BC628" s="3"/>
      <c r="BD628" s="3"/>
      <c r="BE628" s="1492">
        <f t="shared" si="1"/>
        <v>0</v>
      </c>
      <c r="BF628" s="1494"/>
      <c r="BG628" s="1501">
        <f t="shared" si="2"/>
        <v>0</v>
      </c>
      <c r="BH628" s="1503"/>
      <c r="BI628" s="1492">
        <f t="shared" si="3"/>
        <v>0</v>
      </c>
      <c r="BJ628" s="1494"/>
      <c r="BK628" s="1501">
        <f t="shared" si="4"/>
        <v>0</v>
      </c>
      <c r="BL628" s="1503"/>
      <c r="BM628" s="3"/>
      <c r="BN628" s="1488">
        <f t="shared" si="5"/>
        <v>0</v>
      </c>
      <c r="BO628" s="1489"/>
      <c r="BP628" s="1489"/>
      <c r="BQ628" s="1489"/>
      <c r="BR628" s="1490"/>
      <c r="BS628" s="1495">
        <f t="shared" si="6"/>
        <v>0</v>
      </c>
      <c r="BT628" s="1495"/>
      <c r="BU628" s="1495"/>
      <c r="BV628" s="1495"/>
      <c r="BW628" s="1495"/>
      <c r="BX628" s="1495">
        <f t="shared" si="7"/>
        <v>0</v>
      </c>
      <c r="BY628" s="1495"/>
      <c r="BZ628" s="1495"/>
      <c r="CA628" s="1495"/>
      <c r="CB628" s="1495"/>
      <c r="CC628" s="1495">
        <f t="shared" si="8"/>
        <v>0</v>
      </c>
      <c r="CD628" s="1495"/>
      <c r="CE628" s="1495"/>
      <c r="CF628" s="1495"/>
      <c r="CG628" s="1495"/>
      <c r="CH628" s="1495">
        <f t="shared" si="9"/>
        <v>0</v>
      </c>
      <c r="CI628" s="1495"/>
      <c r="CJ628" s="1495"/>
      <c r="CK628" s="1495"/>
      <c r="CL628" s="1495"/>
      <c r="CM628" s="1495">
        <f t="shared" si="10"/>
        <v>0</v>
      </c>
      <c r="CN628" s="1495"/>
      <c r="CO628" s="1495"/>
      <c r="CP628" s="1495"/>
      <c r="CQ628" s="1495"/>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92" t="str">
        <f t="shared" si="17"/>
        <v/>
      </c>
      <c r="DY628" s="1493"/>
      <c r="DZ628" s="1493"/>
      <c r="EA628" s="1493"/>
      <c r="EB628" s="1494"/>
      <c r="EC628" s="1492" t="str">
        <f t="shared" si="18"/>
        <v/>
      </c>
      <c r="ED628" s="1493"/>
      <c r="EE628" s="1493"/>
      <c r="EF628" s="1493"/>
      <c r="EG628" s="1494"/>
      <c r="EH628" s="1492" t="str">
        <f t="shared" si="19"/>
        <v/>
      </c>
      <c r="EI628" s="1493"/>
      <c r="EJ628" s="1493"/>
      <c r="EK628" s="1493"/>
      <c r="EL628" s="1494"/>
      <c r="EM628" s="1492" t="str">
        <f t="shared" si="20"/>
        <v/>
      </c>
      <c r="EN628" s="1493"/>
      <c r="EO628" s="1493"/>
      <c r="EP628" s="1493"/>
      <c r="EQ628" s="1494"/>
      <c r="ER628" s="1492" t="str">
        <f t="shared" si="21"/>
        <v/>
      </c>
      <c r="ES628" s="1493"/>
      <c r="ET628" s="1493"/>
      <c r="EU628" s="1493"/>
      <c r="EV628" s="1494"/>
      <c r="EW628" s="1492" t="str">
        <f t="shared" si="22"/>
        <v/>
      </c>
      <c r="EX628" s="1493"/>
      <c r="EY628" s="1493"/>
      <c r="EZ628" s="1493"/>
      <c r="FA628" s="1494"/>
    </row>
    <row r="629" spans="2:157" ht="12.9" customHeight="1">
      <c r="B629" s="52" t="s">
        <v>119</v>
      </c>
      <c r="C629" s="1722" t="s">
        <v>2765</v>
      </c>
      <c r="D629" s="1722"/>
      <c r="E629" s="1722"/>
      <c r="F629" s="1722"/>
      <c r="G629" s="1722"/>
      <c r="H629" s="1722"/>
      <c r="I629" s="1722"/>
      <c r="J629" s="1722"/>
      <c r="K629" s="1722"/>
      <c r="L629" s="1722"/>
      <c r="M629" s="1460" t="s">
        <v>2434</v>
      </c>
      <c r="N629" s="1460"/>
      <c r="O629" s="1460"/>
      <c r="P629" s="1460"/>
      <c r="Q629" s="1462">
        <v>660</v>
      </c>
      <c r="R629" s="1463"/>
      <c r="S629" s="1464"/>
      <c r="T629" s="1462"/>
      <c r="U629" s="1463"/>
      <c r="V629" s="1464"/>
      <c r="W629" s="1450">
        <v>0.03</v>
      </c>
      <c r="X629" s="1451"/>
      <c r="Y629" s="1452"/>
      <c r="Z629" s="1504" t="s">
        <v>466</v>
      </c>
      <c r="AA629" s="1505"/>
      <c r="AB629" s="1506"/>
      <c r="AC629" s="1434">
        <v>2</v>
      </c>
      <c r="AD629" s="1435"/>
      <c r="AE629" s="1436"/>
      <c r="AF629" s="1465">
        <f>[2]EVERYTHING!$AC$59</f>
        <v>78619.566548381947</v>
      </c>
      <c r="AG629" s="1466"/>
      <c r="AH629" s="1466"/>
      <c r="AI629" s="1466"/>
      <c r="AJ629" s="1467"/>
      <c r="AK629" s="1446"/>
      <c r="AL629" s="1447"/>
      <c r="AM629" s="1447"/>
      <c r="AN629" s="1448"/>
      <c r="AO629" s="1514">
        <f>[2]EVERYTHING!$H$11</f>
        <v>18718944.416281417</v>
      </c>
      <c r="AP629" s="1515"/>
      <c r="AQ629" s="1515"/>
      <c r="AR629" s="1515"/>
      <c r="AS629" s="1516"/>
      <c r="AT629" s="1192" t="str">
        <f t="shared" ref="AT629:AT638" si="23">IF(AND(NOT(C628=""),C629="",NOT(C630="")),"!","")</f>
        <v/>
      </c>
      <c r="AU629" s="3"/>
      <c r="AZ629" s="3"/>
      <c r="BA629" s="3"/>
      <c r="BB629" s="3"/>
      <c r="BC629" s="3"/>
      <c r="BD629" s="3"/>
      <c r="BE629" s="1492">
        <f t="shared" si="1"/>
        <v>0</v>
      </c>
      <c r="BF629" s="1494"/>
      <c r="BG629" s="1501">
        <f t="shared" si="2"/>
        <v>0</v>
      </c>
      <c r="BH629" s="1503"/>
      <c r="BI629" s="1492">
        <f t="shared" si="3"/>
        <v>0</v>
      </c>
      <c r="BJ629" s="1494"/>
      <c r="BK629" s="1501">
        <f t="shared" si="4"/>
        <v>0</v>
      </c>
      <c r="BL629" s="1503"/>
      <c r="BM629" s="3"/>
      <c r="BN629" s="1488">
        <f t="shared" si="5"/>
        <v>0</v>
      </c>
      <c r="BO629" s="1489"/>
      <c r="BP629" s="1489"/>
      <c r="BQ629" s="1489"/>
      <c r="BR629" s="1490"/>
      <c r="BS629" s="1495">
        <f t="shared" si="6"/>
        <v>0</v>
      </c>
      <c r="BT629" s="1495"/>
      <c r="BU629" s="1495"/>
      <c r="BV629" s="1495"/>
      <c r="BW629" s="1495"/>
      <c r="BX629" s="1495">
        <f t="shared" si="7"/>
        <v>0</v>
      </c>
      <c r="BY629" s="1495"/>
      <c r="BZ629" s="1495"/>
      <c r="CA629" s="1495"/>
      <c r="CB629" s="1495"/>
      <c r="CC629" s="1495">
        <f t="shared" si="8"/>
        <v>0</v>
      </c>
      <c r="CD629" s="1495"/>
      <c r="CE629" s="1495"/>
      <c r="CF629" s="1495"/>
      <c r="CG629" s="1495"/>
      <c r="CH629" s="1495">
        <f t="shared" si="9"/>
        <v>0</v>
      </c>
      <c r="CI629" s="1495"/>
      <c r="CJ629" s="1495"/>
      <c r="CK629" s="1495"/>
      <c r="CL629" s="1495"/>
      <c r="CM629" s="1495">
        <f t="shared" si="10"/>
        <v>0</v>
      </c>
      <c r="CN629" s="1495"/>
      <c r="CO629" s="1495"/>
      <c r="CP629" s="1495"/>
      <c r="CQ629" s="1495"/>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92" t="str">
        <f t="shared" si="17"/>
        <v/>
      </c>
      <c r="DY629" s="1493"/>
      <c r="DZ629" s="1493"/>
      <c r="EA629" s="1493"/>
      <c r="EB629" s="1494"/>
      <c r="EC629" s="1492" t="str">
        <f t="shared" si="18"/>
        <v/>
      </c>
      <c r="ED629" s="1493"/>
      <c r="EE629" s="1493"/>
      <c r="EF629" s="1493"/>
      <c r="EG629" s="1494"/>
      <c r="EH629" s="1492" t="str">
        <f t="shared" si="19"/>
        <v/>
      </c>
      <c r="EI629" s="1493"/>
      <c r="EJ629" s="1493"/>
      <c r="EK629" s="1493"/>
      <c r="EL629" s="1494"/>
      <c r="EM629" s="1492" t="str">
        <f t="shared" si="20"/>
        <v/>
      </c>
      <c r="EN629" s="1493"/>
      <c r="EO629" s="1493"/>
      <c r="EP629" s="1493"/>
      <c r="EQ629" s="1494"/>
      <c r="ER629" s="1492" t="str">
        <f t="shared" si="21"/>
        <v/>
      </c>
      <c r="ES629" s="1493"/>
      <c r="ET629" s="1493"/>
      <c r="EU629" s="1493"/>
      <c r="EV629" s="1494"/>
      <c r="EW629" s="1492" t="str">
        <f t="shared" si="22"/>
        <v/>
      </c>
      <c r="EX629" s="1493"/>
      <c r="EY629" s="1493"/>
      <c r="EZ629" s="1493"/>
      <c r="FA629" s="1494"/>
    </row>
    <row r="630" spans="2:157" ht="12.9" customHeight="1">
      <c r="B630" s="52" t="s">
        <v>590</v>
      </c>
      <c r="C630" s="1378" t="s">
        <v>2760</v>
      </c>
      <c r="D630" s="1378"/>
      <c r="E630" s="1378"/>
      <c r="F630" s="1378"/>
      <c r="G630" s="1378"/>
      <c r="H630" s="1378"/>
      <c r="I630" s="1378"/>
      <c r="J630" s="1378"/>
      <c r="K630" s="1378"/>
      <c r="L630" s="1378"/>
      <c r="M630" s="1460" t="s">
        <v>2434</v>
      </c>
      <c r="N630" s="1460"/>
      <c r="O630" s="1460"/>
      <c r="P630" s="1460"/>
      <c r="Q630" s="1462">
        <v>660</v>
      </c>
      <c r="R630" s="1463"/>
      <c r="S630" s="1464"/>
      <c r="T630" s="1462"/>
      <c r="U630" s="1463"/>
      <c r="V630" s="1464"/>
      <c r="W630" s="1450">
        <v>0.03</v>
      </c>
      <c r="X630" s="1451"/>
      <c r="Y630" s="1452"/>
      <c r="Z630" s="1504" t="s">
        <v>466</v>
      </c>
      <c r="AA630" s="1505"/>
      <c r="AB630" s="1506"/>
      <c r="AC630" s="1434">
        <v>4</v>
      </c>
      <c r="AD630" s="1435"/>
      <c r="AE630" s="1436"/>
      <c r="AF630" s="1465"/>
      <c r="AG630" s="1466"/>
      <c r="AH630" s="1466"/>
      <c r="AI630" s="1466"/>
      <c r="AJ630" s="1467"/>
      <c r="AK630" s="1446"/>
      <c r="AL630" s="1447"/>
      <c r="AM630" s="1447"/>
      <c r="AN630" s="1448"/>
      <c r="AO630" s="1514">
        <f>[2]EVERYTHING!$H$8</f>
        <v>3556400</v>
      </c>
      <c r="AP630" s="1515"/>
      <c r="AQ630" s="1515"/>
      <c r="AR630" s="1515"/>
      <c r="AS630" s="1516"/>
      <c r="AT630" s="1192" t="str">
        <f t="shared" si="23"/>
        <v/>
      </c>
      <c r="AU630" s="3"/>
      <c r="AZ630" s="3"/>
      <c r="BA630" s="3"/>
      <c r="BB630" s="3"/>
      <c r="BC630" s="3"/>
      <c r="BD630" s="3"/>
      <c r="BE630" s="1492">
        <f t="shared" si="1"/>
        <v>0</v>
      </c>
      <c r="BF630" s="1494"/>
      <c r="BG630" s="1501">
        <f t="shared" si="2"/>
        <v>0</v>
      </c>
      <c r="BH630" s="1503"/>
      <c r="BI630" s="1492">
        <f t="shared" si="3"/>
        <v>0</v>
      </c>
      <c r="BJ630" s="1494"/>
      <c r="BK630" s="1501">
        <f t="shared" si="4"/>
        <v>0</v>
      </c>
      <c r="BL630" s="1503"/>
      <c r="BM630" s="3"/>
      <c r="BN630" s="1488">
        <f t="shared" si="5"/>
        <v>0</v>
      </c>
      <c r="BO630" s="1489"/>
      <c r="BP630" s="1489"/>
      <c r="BQ630" s="1489"/>
      <c r="BR630" s="1490"/>
      <c r="BS630" s="1495">
        <f t="shared" si="6"/>
        <v>0</v>
      </c>
      <c r="BT630" s="1495"/>
      <c r="BU630" s="1495"/>
      <c r="BV630" s="1495"/>
      <c r="BW630" s="1495"/>
      <c r="BX630" s="1495">
        <f t="shared" si="7"/>
        <v>0</v>
      </c>
      <c r="BY630" s="1495"/>
      <c r="BZ630" s="1495"/>
      <c r="CA630" s="1495"/>
      <c r="CB630" s="1495"/>
      <c r="CC630" s="1495">
        <f t="shared" si="8"/>
        <v>0</v>
      </c>
      <c r="CD630" s="1495"/>
      <c r="CE630" s="1495"/>
      <c r="CF630" s="1495"/>
      <c r="CG630" s="1495"/>
      <c r="CH630" s="1495">
        <f t="shared" si="9"/>
        <v>0</v>
      </c>
      <c r="CI630" s="1495"/>
      <c r="CJ630" s="1495"/>
      <c r="CK630" s="1495"/>
      <c r="CL630" s="1495"/>
      <c r="CM630" s="1495">
        <f t="shared" si="10"/>
        <v>0</v>
      </c>
      <c r="CN630" s="1495"/>
      <c r="CO630" s="1495"/>
      <c r="CP630" s="1495"/>
      <c r="CQ630" s="1495"/>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92" t="str">
        <f t="shared" si="17"/>
        <v/>
      </c>
      <c r="DY630" s="1493"/>
      <c r="DZ630" s="1493"/>
      <c r="EA630" s="1493"/>
      <c r="EB630" s="1494"/>
      <c r="EC630" s="1492" t="str">
        <f t="shared" si="18"/>
        <v/>
      </c>
      <c r="ED630" s="1493"/>
      <c r="EE630" s="1493"/>
      <c r="EF630" s="1493"/>
      <c r="EG630" s="1494"/>
      <c r="EH630" s="1492" t="str">
        <f t="shared" si="19"/>
        <v/>
      </c>
      <c r="EI630" s="1493"/>
      <c r="EJ630" s="1493"/>
      <c r="EK630" s="1493"/>
      <c r="EL630" s="1494"/>
      <c r="EM630" s="1492" t="str">
        <f t="shared" si="20"/>
        <v/>
      </c>
      <c r="EN630" s="1493"/>
      <c r="EO630" s="1493"/>
      <c r="EP630" s="1493"/>
      <c r="EQ630" s="1494"/>
      <c r="ER630" s="1492" t="str">
        <f t="shared" si="21"/>
        <v/>
      </c>
      <c r="ES630" s="1493"/>
      <c r="ET630" s="1493"/>
      <c r="EU630" s="1493"/>
      <c r="EV630" s="1494"/>
      <c r="EW630" s="1492" t="str">
        <f t="shared" si="22"/>
        <v/>
      </c>
      <c r="EX630" s="1493"/>
      <c r="EY630" s="1493"/>
      <c r="EZ630" s="1493"/>
      <c r="FA630" s="1494"/>
    </row>
    <row r="631" spans="2:157" ht="12.9" customHeight="1">
      <c r="B631" s="52" t="s">
        <v>773</v>
      </c>
      <c r="C631" s="1378" t="s">
        <v>1850</v>
      </c>
      <c r="D631" s="1378"/>
      <c r="E631" s="1378"/>
      <c r="F631" s="1378"/>
      <c r="G631" s="1378"/>
      <c r="H631" s="1378"/>
      <c r="I631" s="1378"/>
      <c r="J631" s="1378"/>
      <c r="K631" s="1378"/>
      <c r="L631" s="1378"/>
      <c r="M631" s="1460" t="s">
        <v>2425</v>
      </c>
      <c r="N631" s="1460"/>
      <c r="O631" s="1460"/>
      <c r="P631" s="1460"/>
      <c r="Q631" s="1462"/>
      <c r="R631" s="1463"/>
      <c r="S631" s="1464"/>
      <c r="T631" s="1462"/>
      <c r="U631" s="1463"/>
      <c r="V631" s="1464"/>
      <c r="W631" s="1450"/>
      <c r="X631" s="1451"/>
      <c r="Y631" s="1452"/>
      <c r="Z631" s="1504" t="s">
        <v>301</v>
      </c>
      <c r="AA631" s="1505"/>
      <c r="AB631" s="1506"/>
      <c r="AC631" s="1434"/>
      <c r="AD631" s="1435"/>
      <c r="AE631" s="1436"/>
      <c r="AF631" s="1465"/>
      <c r="AG631" s="1466"/>
      <c r="AH631" s="1466"/>
      <c r="AI631" s="1466"/>
      <c r="AJ631" s="1467"/>
      <c r="AK631" s="1446"/>
      <c r="AL631" s="1447"/>
      <c r="AM631" s="1447"/>
      <c r="AN631" s="1448"/>
      <c r="AO631" s="1514">
        <f>[2]EVERYTHING!$H$16</f>
        <v>700000</v>
      </c>
      <c r="AP631" s="1515"/>
      <c r="AQ631" s="1515"/>
      <c r="AR631" s="1515"/>
      <c r="AS631" s="1516"/>
      <c r="AT631" s="1192" t="str">
        <f t="shared" si="23"/>
        <v/>
      </c>
      <c r="AU631" s="3"/>
      <c r="AZ631" s="3"/>
      <c r="BA631" s="3"/>
      <c r="BB631" s="3"/>
      <c r="BC631" s="3"/>
      <c r="BD631" s="3"/>
      <c r="BE631" s="1492">
        <f t="shared" si="1"/>
        <v>0</v>
      </c>
      <c r="BF631" s="1494"/>
      <c r="BG631" s="1501">
        <f t="shared" si="2"/>
        <v>0</v>
      </c>
      <c r="BH631" s="1503"/>
      <c r="BI631" s="1492">
        <f t="shared" si="3"/>
        <v>0</v>
      </c>
      <c r="BJ631" s="1494"/>
      <c r="BK631" s="1501">
        <f t="shared" si="4"/>
        <v>0</v>
      </c>
      <c r="BL631" s="1503"/>
      <c r="BM631" s="3"/>
      <c r="BN631" s="1488">
        <f t="shared" si="5"/>
        <v>0</v>
      </c>
      <c r="BO631" s="1489"/>
      <c r="BP631" s="1489"/>
      <c r="BQ631" s="1489"/>
      <c r="BR631" s="1490"/>
      <c r="BS631" s="1495">
        <f t="shared" si="6"/>
        <v>0</v>
      </c>
      <c r="BT631" s="1495"/>
      <c r="BU631" s="1495"/>
      <c r="BV631" s="1495"/>
      <c r="BW631" s="1495"/>
      <c r="BX631" s="1495">
        <f t="shared" si="7"/>
        <v>0</v>
      </c>
      <c r="BY631" s="1495"/>
      <c r="BZ631" s="1495"/>
      <c r="CA631" s="1495"/>
      <c r="CB631" s="1495"/>
      <c r="CC631" s="1495">
        <f t="shared" si="8"/>
        <v>0</v>
      </c>
      <c r="CD631" s="1495"/>
      <c r="CE631" s="1495"/>
      <c r="CF631" s="1495"/>
      <c r="CG631" s="1495"/>
      <c r="CH631" s="1495">
        <f t="shared" si="9"/>
        <v>0</v>
      </c>
      <c r="CI631" s="1495"/>
      <c r="CJ631" s="1495"/>
      <c r="CK631" s="1495"/>
      <c r="CL631" s="1495"/>
      <c r="CM631" s="1495">
        <f t="shared" si="10"/>
        <v>0</v>
      </c>
      <c r="CN631" s="1495"/>
      <c r="CO631" s="1495"/>
      <c r="CP631" s="1495"/>
      <c r="CQ631" s="1495"/>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92" t="str">
        <f t="shared" si="17"/>
        <v/>
      </c>
      <c r="DY631" s="1493"/>
      <c r="DZ631" s="1493"/>
      <c r="EA631" s="1493"/>
      <c r="EB631" s="1494"/>
      <c r="EC631" s="1492" t="str">
        <f t="shared" si="18"/>
        <v/>
      </c>
      <c r="ED631" s="1493"/>
      <c r="EE631" s="1493"/>
      <c r="EF631" s="1493"/>
      <c r="EG631" s="1494"/>
      <c r="EH631" s="1492" t="str">
        <f t="shared" si="19"/>
        <v/>
      </c>
      <c r="EI631" s="1493"/>
      <c r="EJ631" s="1493"/>
      <c r="EK631" s="1493"/>
      <c r="EL631" s="1494"/>
      <c r="EM631" s="1492" t="str">
        <f t="shared" si="20"/>
        <v/>
      </c>
      <c r="EN631" s="1493"/>
      <c r="EO631" s="1493"/>
      <c r="EP631" s="1493"/>
      <c r="EQ631" s="1494"/>
      <c r="ER631" s="1492" t="str">
        <f t="shared" si="21"/>
        <v/>
      </c>
      <c r="ES631" s="1493"/>
      <c r="ET631" s="1493"/>
      <c r="EU631" s="1493"/>
      <c r="EV631" s="1494"/>
      <c r="EW631" s="1492" t="str">
        <f t="shared" si="22"/>
        <v/>
      </c>
      <c r="EX631" s="1493"/>
      <c r="EY631" s="1493"/>
      <c r="EZ631" s="1493"/>
      <c r="FA631" s="1494"/>
    </row>
    <row r="632" spans="2:157" ht="12.9" customHeight="1">
      <c r="B632" s="52" t="s">
        <v>593</v>
      </c>
      <c r="C632" s="1378" t="s">
        <v>2761</v>
      </c>
      <c r="D632" s="1378"/>
      <c r="E632" s="1378"/>
      <c r="F632" s="1378"/>
      <c r="G632" s="1378"/>
      <c r="H632" s="1378"/>
      <c r="I632" s="1378"/>
      <c r="J632" s="1378"/>
      <c r="K632" s="1378"/>
      <c r="L632" s="1378"/>
      <c r="M632" s="1460" t="s">
        <v>2428</v>
      </c>
      <c r="N632" s="1460"/>
      <c r="O632" s="1460"/>
      <c r="P632" s="1460"/>
      <c r="Q632" s="1462"/>
      <c r="R632" s="1463"/>
      <c r="S632" s="1464"/>
      <c r="T632" s="1462"/>
      <c r="U632" s="1463"/>
      <c r="V632" s="1464"/>
      <c r="W632" s="1450"/>
      <c r="X632" s="1451"/>
      <c r="Y632" s="1452"/>
      <c r="Z632" s="1504" t="s">
        <v>301</v>
      </c>
      <c r="AA632" s="1505"/>
      <c r="AB632" s="1506"/>
      <c r="AC632" s="1434"/>
      <c r="AD632" s="1435"/>
      <c r="AE632" s="1436"/>
      <c r="AF632" s="1465"/>
      <c r="AG632" s="1466"/>
      <c r="AH632" s="1466"/>
      <c r="AI632" s="1466"/>
      <c r="AJ632" s="1467"/>
      <c r="AK632" s="1446"/>
      <c r="AL632" s="1447"/>
      <c r="AM632" s="1447"/>
      <c r="AN632" s="1448"/>
      <c r="AO632" s="1514">
        <f>[2]EVERYTHING!$H$17</f>
        <v>1000000</v>
      </c>
      <c r="AP632" s="1515"/>
      <c r="AQ632" s="1515"/>
      <c r="AR632" s="1515"/>
      <c r="AS632" s="1516"/>
      <c r="AT632" s="1192" t="str">
        <f t="shared" si="23"/>
        <v/>
      </c>
      <c r="AU632" s="3"/>
      <c r="AZ632" s="3"/>
      <c r="BA632" s="3"/>
      <c r="BB632" s="3"/>
      <c r="BC632" s="3"/>
      <c r="BD632" s="3"/>
      <c r="BE632" s="3"/>
      <c r="BF632" s="3"/>
      <c r="BG632" s="1492">
        <f>SUM(BG597:BH631)</f>
        <v>54</v>
      </c>
      <c r="BH632" s="1494"/>
      <c r="BI632" s="3"/>
      <c r="BJ632" s="3"/>
      <c r="BK632" s="1492">
        <f>SUM(BK597:BL631)</f>
        <v>25</v>
      </c>
      <c r="BL632" s="1494"/>
      <c r="BM632" s="3"/>
      <c r="BN632" s="1492">
        <f>SUM(BN597:BR631)</f>
        <v>0</v>
      </c>
      <c r="BO632" s="1493"/>
      <c r="BP632" s="1493"/>
      <c r="BQ632" s="1493"/>
      <c r="BR632" s="1494"/>
      <c r="BS632" s="1499">
        <f>SUM(BS597:BW631)</f>
        <v>79</v>
      </c>
      <c r="BT632" s="1499"/>
      <c r="BU632" s="1499"/>
      <c r="BV632" s="1499"/>
      <c r="BW632" s="1499"/>
      <c r="BX632" s="1499">
        <f>SUM(BX597:CB631)</f>
        <v>0</v>
      </c>
      <c r="BY632" s="1499"/>
      <c r="BZ632" s="1499"/>
      <c r="CA632" s="1499"/>
      <c r="CB632" s="1499"/>
      <c r="CC632" s="1499">
        <f>SUM(CC597:CG631)</f>
        <v>0</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25</v>
      </c>
      <c r="CY632" s="1499"/>
      <c r="CZ632" s="1499"/>
      <c r="DA632" s="1499"/>
      <c r="DB632" s="1499"/>
      <c r="DC632" s="1499">
        <f>SUM(DC597:DG631)</f>
        <v>0</v>
      </c>
      <c r="DD632" s="1499"/>
      <c r="DE632" s="1499"/>
      <c r="DF632" s="1499"/>
      <c r="DG632" s="1499"/>
      <c r="DH632" s="1499">
        <f>SUM(DH597:DL631)</f>
        <v>0</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5772</v>
      </c>
      <c r="ED632" s="1499"/>
      <c r="EE632" s="1499"/>
      <c r="EF632" s="1499"/>
      <c r="EG632" s="1499"/>
      <c r="EH632" s="1499">
        <f>SUM(EH597:EL631)</f>
        <v>0</v>
      </c>
      <c r="EI632" s="1499"/>
      <c r="EJ632" s="1499"/>
      <c r="EK632" s="1499"/>
      <c r="EL632" s="1499"/>
      <c r="EM632" s="1499">
        <f>SUM(EM597:EQ631)</f>
        <v>0</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 customHeight="1">
      <c r="B633" s="52" t="s">
        <v>464</v>
      </c>
      <c r="C633" s="1378" t="s">
        <v>2761</v>
      </c>
      <c r="D633" s="1378"/>
      <c r="E633" s="1378"/>
      <c r="F633" s="1378"/>
      <c r="G633" s="1378"/>
      <c r="H633" s="1378"/>
      <c r="I633" s="1378"/>
      <c r="J633" s="1378"/>
      <c r="K633" s="1378"/>
      <c r="L633" s="1378"/>
      <c r="M633" s="1460" t="s">
        <v>2428</v>
      </c>
      <c r="N633" s="1460"/>
      <c r="O633" s="1460"/>
      <c r="P633" s="1460"/>
      <c r="Q633" s="1462"/>
      <c r="R633" s="1463"/>
      <c r="S633" s="1464"/>
      <c r="T633" s="1462"/>
      <c r="U633" s="1463"/>
      <c r="V633" s="1464"/>
      <c r="W633" s="1450"/>
      <c r="X633" s="1451"/>
      <c r="Y633" s="1452"/>
      <c r="Z633" s="1504" t="s">
        <v>301</v>
      </c>
      <c r="AA633" s="1505"/>
      <c r="AB633" s="1506"/>
      <c r="AC633" s="1434"/>
      <c r="AD633" s="1435"/>
      <c r="AE633" s="1436"/>
      <c r="AF633" s="1465"/>
      <c r="AG633" s="1466"/>
      <c r="AH633" s="1466"/>
      <c r="AI633" s="1466"/>
      <c r="AJ633" s="1467"/>
      <c r="AK633" s="1446"/>
      <c r="AL633" s="1447"/>
      <c r="AM633" s="1447"/>
      <c r="AN633" s="1448"/>
      <c r="AO633" s="1514">
        <f>[2]EVERYTHING!$H$15</f>
        <v>1724654.6746198384</v>
      </c>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2">
        <f>BN632+BS632+BX632+CC632+CH632+CM632</f>
        <v>79</v>
      </c>
      <c r="CN633" s="1493"/>
      <c r="CO633" s="1493"/>
      <c r="CP633" s="1493"/>
      <c r="CQ633" s="1494"/>
      <c r="CR633" s="385"/>
      <c r="CS633" s="3"/>
      <c r="CT633" s="3"/>
      <c r="CU633" s="3"/>
      <c r="CV633" s="3"/>
      <c r="CW633" s="3"/>
      <c r="CX633" s="3"/>
      <c r="CY633" s="3"/>
      <c r="CZ633" s="3"/>
      <c r="DA633" s="3"/>
      <c r="DB633" s="3"/>
      <c r="DC633" s="3"/>
      <c r="DD633" s="3"/>
      <c r="DE633" s="3"/>
      <c r="DF633" s="3"/>
    </row>
    <row r="634" spans="2:157" ht="12.9" customHeight="1">
      <c r="B634" s="52" t="s">
        <v>465</v>
      </c>
      <c r="C634" s="1378"/>
      <c r="D634" s="1378"/>
      <c r="E634" s="1378"/>
      <c r="F634" s="1378"/>
      <c r="G634" s="1378"/>
      <c r="H634" s="1378"/>
      <c r="I634" s="1378"/>
      <c r="J634" s="1378"/>
      <c r="K634" s="1378"/>
      <c r="L634" s="1378"/>
      <c r="M634" s="1460" t="s">
        <v>1291</v>
      </c>
      <c r="N634" s="1460"/>
      <c r="O634" s="1460"/>
      <c r="P634" s="1460"/>
      <c r="Q634" s="1462"/>
      <c r="R634" s="1463"/>
      <c r="S634" s="1464"/>
      <c r="T634" s="1462"/>
      <c r="U634" s="1463"/>
      <c r="V634" s="1464"/>
      <c r="W634" s="1450"/>
      <c r="X634" s="1451"/>
      <c r="Y634" s="1452"/>
      <c r="Z634" s="1504" t="s">
        <v>1291</v>
      </c>
      <c r="AA634" s="1505"/>
      <c r="AB634" s="1506"/>
      <c r="AC634" s="1434"/>
      <c r="AD634" s="1435"/>
      <c r="AE634" s="1436"/>
      <c r="AF634" s="1465"/>
      <c r="AG634" s="1466"/>
      <c r="AH634" s="1466"/>
      <c r="AI634" s="1466"/>
      <c r="AJ634" s="1467"/>
      <c r="AK634" s="1446"/>
      <c r="AL634" s="1447"/>
      <c r="AM634" s="1447"/>
      <c r="AN634" s="1448"/>
      <c r="AO634" s="1514"/>
      <c r="AP634" s="1515"/>
      <c r="AQ634" s="1515"/>
      <c r="AR634" s="1515"/>
      <c r="AS634" s="1516"/>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79</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79</v>
      </c>
      <c r="CT634" s="57" t="s">
        <v>2053</v>
      </c>
      <c r="CU634" s="3"/>
      <c r="CV634" s="3"/>
      <c r="CW634" s="3"/>
      <c r="CX634" s="3"/>
      <c r="CY634" s="3"/>
      <c r="CZ634" s="3"/>
      <c r="DA634" s="3"/>
      <c r="DB634" s="3"/>
      <c r="DC634" s="3"/>
      <c r="DD634" s="3"/>
      <c r="DE634" s="3"/>
      <c r="DF634" s="3"/>
    </row>
    <row r="635" spans="2:157" ht="12.9" customHeight="1">
      <c r="B635" s="52" t="s">
        <v>470</v>
      </c>
      <c r="C635" s="1378"/>
      <c r="D635" s="1378"/>
      <c r="E635" s="1378"/>
      <c r="F635" s="1378"/>
      <c r="G635" s="1378"/>
      <c r="H635" s="1378"/>
      <c r="I635" s="1378"/>
      <c r="J635" s="1378"/>
      <c r="K635" s="1378"/>
      <c r="L635" s="1378"/>
      <c r="M635" s="1460" t="s">
        <v>1291</v>
      </c>
      <c r="N635" s="1460"/>
      <c r="O635" s="1460"/>
      <c r="P635" s="1460"/>
      <c r="Q635" s="1462"/>
      <c r="R635" s="1463"/>
      <c r="S635" s="1464"/>
      <c r="T635" s="1462"/>
      <c r="U635" s="1463"/>
      <c r="V635" s="1464"/>
      <c r="W635" s="1450"/>
      <c r="X635" s="1451"/>
      <c r="Y635" s="1452"/>
      <c r="Z635" s="1504" t="s">
        <v>1291</v>
      </c>
      <c r="AA635" s="1505"/>
      <c r="AB635" s="1506"/>
      <c r="AC635" s="1434"/>
      <c r="AD635" s="1435"/>
      <c r="AE635" s="1436"/>
      <c r="AF635" s="1465"/>
      <c r="AG635" s="1466"/>
      <c r="AH635" s="1466"/>
      <c r="AI635" s="1466"/>
      <c r="AJ635" s="1467"/>
      <c r="AK635" s="1446"/>
      <c r="AL635" s="1447"/>
      <c r="AM635" s="1447"/>
      <c r="AN635" s="1448"/>
      <c r="AO635" s="1514"/>
      <c r="AP635" s="1515"/>
      <c r="AQ635" s="1515"/>
      <c r="AR635" s="1515"/>
      <c r="AS635" s="1516"/>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197.50632911392404</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 customHeight="1">
      <c r="B636" s="52" t="s">
        <v>655</v>
      </c>
      <c r="C636" s="1378"/>
      <c r="D636" s="1378"/>
      <c r="E636" s="1378"/>
      <c r="F636" s="1378"/>
      <c r="G636" s="1378"/>
      <c r="H636" s="1378"/>
      <c r="I636" s="1378"/>
      <c r="J636" s="1378"/>
      <c r="K636" s="1378"/>
      <c r="L636" s="1378"/>
      <c r="M636" s="1460" t="s">
        <v>1291</v>
      </c>
      <c r="N636" s="1460"/>
      <c r="O636" s="1460"/>
      <c r="P636" s="1460"/>
      <c r="Q636" s="1462"/>
      <c r="R636" s="1463"/>
      <c r="S636" s="1464"/>
      <c r="T636" s="1462"/>
      <c r="U636" s="1463"/>
      <c r="V636" s="1464"/>
      <c r="W636" s="1450"/>
      <c r="X636" s="1451"/>
      <c r="Y636" s="1452"/>
      <c r="Z636" s="1504" t="s">
        <v>1291</v>
      </c>
      <c r="AA636" s="1505"/>
      <c r="AB636" s="1506"/>
      <c r="AC636" s="1434"/>
      <c r="AD636" s="1435"/>
      <c r="AE636" s="1436"/>
      <c r="AF636" s="1465"/>
      <c r="AG636" s="1466"/>
      <c r="AH636" s="1466"/>
      <c r="AI636" s="1466"/>
      <c r="AJ636" s="1467"/>
      <c r="AK636" s="1446"/>
      <c r="AL636" s="1447"/>
      <c r="AM636" s="1447"/>
      <c r="AN636" s="1448"/>
      <c r="AO636" s="1514"/>
      <c r="AP636" s="1515"/>
      <c r="AQ636" s="1515"/>
      <c r="AR636" s="1515"/>
      <c r="AS636" s="1516"/>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f t="shared" si="24"/>
        <v>104.81012658227849</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 customHeight="1">
      <c r="B637" s="52" t="s">
        <v>363</v>
      </c>
      <c r="C637" s="1378"/>
      <c r="D637" s="1378"/>
      <c r="E637" s="1378"/>
      <c r="F637" s="1378"/>
      <c r="G637" s="1378"/>
      <c r="H637" s="1378"/>
      <c r="I637" s="1378"/>
      <c r="J637" s="1378"/>
      <c r="K637" s="1378"/>
      <c r="L637" s="1378"/>
      <c r="M637" s="1460" t="s">
        <v>1291</v>
      </c>
      <c r="N637" s="1460"/>
      <c r="O637" s="1460"/>
      <c r="P637" s="1460"/>
      <c r="Q637" s="1462"/>
      <c r="R637" s="1463"/>
      <c r="S637" s="1464"/>
      <c r="T637" s="1462"/>
      <c r="U637" s="1463"/>
      <c r="V637" s="1464"/>
      <c r="W637" s="1450"/>
      <c r="X637" s="1451"/>
      <c r="Y637" s="1452"/>
      <c r="Z637" s="1504" t="s">
        <v>1291</v>
      </c>
      <c r="AA637" s="1505"/>
      <c r="AB637" s="1506"/>
      <c r="AC637" s="1434"/>
      <c r="AD637" s="1435"/>
      <c r="AE637" s="1436"/>
      <c r="AF637" s="1465"/>
      <c r="AG637" s="1466"/>
      <c r="AH637" s="1466"/>
      <c r="AI637" s="1466"/>
      <c r="AJ637" s="1467"/>
      <c r="AK637" s="1446"/>
      <c r="AL637" s="1447"/>
      <c r="AM637" s="1447"/>
      <c r="AN637" s="1448"/>
      <c r="AO637" s="1514"/>
      <c r="AP637" s="1515"/>
      <c r="AQ637" s="1515"/>
      <c r="AR637" s="1515"/>
      <c r="AS637" s="1516"/>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8">
        <f>IF(J773="SRO/Studio",O773,0)</f>
        <v>0</v>
      </c>
      <c r="BO637" s="1489"/>
      <c r="BP637" s="1489"/>
      <c r="BQ637" s="1489"/>
      <c r="BR637" s="1490"/>
      <c r="BS637" s="1495">
        <f>IF(J773="1 Bedroom",O773,0)</f>
        <v>0</v>
      </c>
      <c r="BT637" s="1495"/>
      <c r="BU637" s="1495"/>
      <c r="BV637" s="1495"/>
      <c r="BW637" s="1495"/>
      <c r="BX637" s="1495">
        <f>IF(J773="2 Bedrooms",O773,0)</f>
        <v>1</v>
      </c>
      <c r="BY637" s="1495"/>
      <c r="BZ637" s="1495"/>
      <c r="CA637" s="1495"/>
      <c r="CB637" s="1495"/>
      <c r="CC637" s="1495">
        <f>IF(J773="3 Bedrooms",O773,0)</f>
        <v>0</v>
      </c>
      <c r="CD637" s="1495"/>
      <c r="CE637" s="1495"/>
      <c r="CF637" s="1495"/>
      <c r="CG637" s="1495"/>
      <c r="CH637" s="1495">
        <f>IF(J773="4 Bedrooms",O773,0)</f>
        <v>0</v>
      </c>
      <c r="CI637" s="1495"/>
      <c r="CJ637" s="1495"/>
      <c r="CK637" s="1495"/>
      <c r="CL637" s="1495"/>
      <c r="CM637" s="1495">
        <f>IF(J773="5 Bedrooms",O773,0)</f>
        <v>0</v>
      </c>
      <c r="CN637" s="1495"/>
      <c r="CO637" s="1495"/>
      <c r="CP637" s="1495"/>
      <c r="CQ637" s="1495"/>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f t="shared" si="24"/>
        <v>50.392405063291143</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 customHeight="1">
      <c r="B638" s="52" t="s">
        <v>364</v>
      </c>
      <c r="C638" s="1378"/>
      <c r="D638" s="1378"/>
      <c r="E638" s="1378"/>
      <c r="F638" s="1378"/>
      <c r="G638" s="1378"/>
      <c r="H638" s="1378"/>
      <c r="I638" s="1378"/>
      <c r="J638" s="1378"/>
      <c r="K638" s="1378"/>
      <c r="L638" s="1378"/>
      <c r="M638" s="1460" t="s">
        <v>1291</v>
      </c>
      <c r="N638" s="1460"/>
      <c r="O638" s="1460"/>
      <c r="P638" s="1460"/>
      <c r="Q638" s="1462"/>
      <c r="R638" s="1463"/>
      <c r="S638" s="1464"/>
      <c r="T638" s="1462"/>
      <c r="U638" s="1463"/>
      <c r="V638" s="1464"/>
      <c r="W638" s="1450"/>
      <c r="X638" s="1451"/>
      <c r="Y638" s="1452"/>
      <c r="Z638" s="1504" t="s">
        <v>1291</v>
      </c>
      <c r="AA638" s="1505"/>
      <c r="AB638" s="1506"/>
      <c r="AC638" s="1434"/>
      <c r="AD638" s="1435"/>
      <c r="AE638" s="1436"/>
      <c r="AF638" s="1465"/>
      <c r="AG638" s="1466"/>
      <c r="AH638" s="1466"/>
      <c r="AI638" s="1466"/>
      <c r="AJ638" s="1467"/>
      <c r="AK638" s="1446"/>
      <c r="AL638" s="1447"/>
      <c r="AM638" s="1447"/>
      <c r="AN638" s="1448"/>
      <c r="AO638" s="1514"/>
      <c r="AP638" s="1515"/>
      <c r="AQ638" s="1515"/>
      <c r="AR638" s="1515"/>
      <c r="AS638" s="151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8">
        <f>IF(J774="SRO/Studio",O774,0)</f>
        <v>0</v>
      </c>
      <c r="BO638" s="1489"/>
      <c r="BP638" s="1489"/>
      <c r="BQ638" s="1489"/>
      <c r="BR638" s="1490"/>
      <c r="BS638" s="1495">
        <f>IF(J774="1 Bedroom",O774,0)</f>
        <v>0</v>
      </c>
      <c r="BT638" s="1495"/>
      <c r="BU638" s="1495"/>
      <c r="BV638" s="1495"/>
      <c r="BW638" s="1495"/>
      <c r="BX638" s="1495">
        <f>IF(J774="2 Bedrooms",O774,0)</f>
        <v>0</v>
      </c>
      <c r="BY638" s="1495"/>
      <c r="BZ638" s="1495"/>
      <c r="CA638" s="1495"/>
      <c r="CB638" s="1495"/>
      <c r="CC638" s="1495">
        <f>IF(J774="3 Bedrooms",O774,0)</f>
        <v>0</v>
      </c>
      <c r="CD638" s="1495"/>
      <c r="CE638" s="1495"/>
      <c r="CF638" s="1495"/>
      <c r="CG638" s="1495"/>
      <c r="CH638" s="1495">
        <f>IF(J774="4 Bedrooms",O774,0)</f>
        <v>0</v>
      </c>
      <c r="CI638" s="1495"/>
      <c r="CJ638" s="1495"/>
      <c r="CK638" s="1495"/>
      <c r="CL638" s="1495"/>
      <c r="CM638" s="1495">
        <f>IF(J774="5 Bedrooms",O774,0)</f>
        <v>0</v>
      </c>
      <c r="CN638" s="1495"/>
      <c r="CO638" s="1495"/>
      <c r="CP638" s="1495"/>
      <c r="CQ638" s="1495"/>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f t="shared" si="24"/>
        <v>15.443037974683545</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 customHeight="1">
      <c r="B639" s="1453" t="s">
        <v>128</v>
      </c>
      <c r="C639" s="1454"/>
      <c r="D639" s="1454"/>
      <c r="E639" s="1454"/>
      <c r="F639" s="1454"/>
      <c r="G639" s="1454"/>
      <c r="H639" s="1454"/>
      <c r="I639" s="1454"/>
      <c r="J639" s="1454"/>
      <c r="K639" s="1454"/>
      <c r="L639" s="1454"/>
      <c r="M639" s="1454"/>
      <c r="N639" s="1454"/>
      <c r="O639" s="1454"/>
      <c r="P639" s="1454"/>
      <c r="Q639" s="1454"/>
      <c r="R639" s="1454"/>
      <c r="S639" s="1454"/>
      <c r="T639" s="1454"/>
      <c r="U639" s="1454"/>
      <c r="V639" s="1454"/>
      <c r="W639" s="1454"/>
      <c r="X639" s="1454"/>
      <c r="Y639" s="1454"/>
      <c r="Z639" s="1454"/>
      <c r="AA639" s="1454"/>
      <c r="AB639" s="1454"/>
      <c r="AC639" s="1454"/>
      <c r="AD639" s="1454"/>
      <c r="AE639" s="1454"/>
      <c r="AF639" s="1454"/>
      <c r="AG639" s="1454"/>
      <c r="AH639" s="1454"/>
      <c r="AI639" s="1454"/>
      <c r="AJ639" s="1454"/>
      <c r="AK639" s="1454"/>
      <c r="AL639" s="1454"/>
      <c r="AM639" s="1454"/>
      <c r="AN639" s="1455"/>
      <c r="AO639" s="1654">
        <f>SUM(AO627:AR638)</f>
        <v>45611300.090901256</v>
      </c>
      <c r="AP639" s="1655"/>
      <c r="AQ639" s="1655"/>
      <c r="AR639" s="1655"/>
      <c r="AS639" s="1656"/>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95">
        <f>IF(J775="1 Bedroom",O775,0)</f>
        <v>0</v>
      </c>
      <c r="BT639" s="1495"/>
      <c r="BU639" s="1495"/>
      <c r="BV639" s="1495"/>
      <c r="BW639" s="1495"/>
      <c r="BX639" s="1495">
        <f>IF(J775="2 Bedrooms",O775,0)</f>
        <v>0</v>
      </c>
      <c r="BY639" s="1495"/>
      <c r="BZ639" s="1495"/>
      <c r="CA639" s="1495"/>
      <c r="CB639" s="1495"/>
      <c r="CC639" s="1495">
        <f>IF(J775="3 Bedrooms",O775,0)</f>
        <v>0</v>
      </c>
      <c r="CD639" s="1495"/>
      <c r="CE639" s="1495"/>
      <c r="CF639" s="1495"/>
      <c r="CG639" s="1495"/>
      <c r="CH639" s="1495">
        <f>IF(J775="4 Bedrooms",O775,0)</f>
        <v>0</v>
      </c>
      <c r="CI639" s="1495"/>
      <c r="CJ639" s="1495"/>
      <c r="CK639" s="1495"/>
      <c r="CL639" s="1495"/>
      <c r="CM639" s="1495">
        <f>IF(J775="5 Bedrooms",O775,0)</f>
        <v>0</v>
      </c>
      <c r="CN639" s="1495"/>
      <c r="CO639" s="1495"/>
      <c r="CP639" s="1495"/>
      <c r="CQ639" s="1495"/>
      <c r="CR639" s="1047"/>
      <c r="CV639" s="3"/>
      <c r="CW639" s="3"/>
      <c r="CX639" s="3"/>
      <c r="CY639" s="3"/>
      <c r="CZ639" s="3"/>
      <c r="DA639" s="3"/>
      <c r="DB639" s="3"/>
      <c r="DC639" s="3"/>
      <c r="DD639" s="3"/>
      <c r="DE639" s="3"/>
      <c r="DF639" s="3"/>
      <c r="DX639" s="1485" t="e">
        <f t="shared" si="29"/>
        <v>#VALUE!</v>
      </c>
      <c r="DY639" s="1485"/>
      <c r="DZ639" s="1485"/>
      <c r="EA639" s="1485"/>
      <c r="EB639" s="1485"/>
      <c r="EC639" s="1485">
        <f t="shared" si="24"/>
        <v>52.405063291139243</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 customHeight="1">
      <c r="B640" s="1453" t="s">
        <v>268</v>
      </c>
      <c r="C640" s="1454"/>
      <c r="D640" s="1454"/>
      <c r="E640" s="1454"/>
      <c r="F640" s="1454"/>
      <c r="G640" s="1454"/>
      <c r="H640" s="1454"/>
      <c r="I640" s="1454"/>
      <c r="J640" s="1454"/>
      <c r="K640" s="1454"/>
      <c r="L640" s="1454"/>
      <c r="M640" s="1454"/>
      <c r="N640" s="1454"/>
      <c r="O640" s="1454"/>
      <c r="P640" s="1454"/>
      <c r="Q640" s="1454"/>
      <c r="R640" s="1454"/>
      <c r="S640" s="1454"/>
      <c r="T640" s="1454"/>
      <c r="U640" s="1454"/>
      <c r="V640" s="1454"/>
      <c r="W640" s="1454"/>
      <c r="X640" s="1454"/>
      <c r="Y640" s="1454"/>
      <c r="Z640" s="1454"/>
      <c r="AA640" s="1454"/>
      <c r="AB640" s="1454"/>
      <c r="AC640" s="1454"/>
      <c r="AD640" s="1454"/>
      <c r="AE640" s="1454"/>
      <c r="AF640" s="1454"/>
      <c r="AG640" s="1454"/>
      <c r="AH640" s="1454"/>
      <c r="AI640" s="1454"/>
      <c r="AJ640" s="1454"/>
      <c r="AK640" s="1454"/>
      <c r="AL640" s="1454"/>
      <c r="AM640" s="1454"/>
      <c r="AN640" s="1455"/>
      <c r="AO640" s="1514">
        <f>[2]EVERYTHING!$H$18-[2]EVERYTHING!$H$112</f>
        <v>29563282</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95">
        <f>IF(J776="1 Bedroom",O776,0)</f>
        <v>0</v>
      </c>
      <c r="BT640" s="1495"/>
      <c r="BU640" s="1495"/>
      <c r="BV640" s="1495"/>
      <c r="BW640" s="1495"/>
      <c r="BX640" s="1495">
        <f>IF(J776="2 Bedrooms",O776,0)</f>
        <v>0</v>
      </c>
      <c r="BY640" s="1495"/>
      <c r="BZ640" s="1495"/>
      <c r="CA640" s="1495"/>
      <c r="CB640" s="1495"/>
      <c r="CC640" s="1495">
        <f>IF(J776="3 Bedrooms",O776,0)</f>
        <v>0</v>
      </c>
      <c r="CD640" s="1495"/>
      <c r="CE640" s="1495"/>
      <c r="CF640" s="1495"/>
      <c r="CG640" s="1495"/>
      <c r="CH640" s="1495">
        <f>IF(J776="4 Bedrooms",O776,0)</f>
        <v>0</v>
      </c>
      <c r="CI640" s="1495"/>
      <c r="CJ640" s="1495"/>
      <c r="CK640" s="1495"/>
      <c r="CL640" s="1495"/>
      <c r="CM640" s="1495">
        <f>IF(J776="5 Bedrooms",O776,0)</f>
        <v>0</v>
      </c>
      <c r="CN640" s="1495"/>
      <c r="CO640" s="1495"/>
      <c r="CP640" s="1495"/>
      <c r="CQ640" s="1495"/>
      <c r="CV640" s="3"/>
      <c r="CW640" s="3"/>
      <c r="CX640" s="3"/>
      <c r="CY640" s="3"/>
      <c r="CZ640" s="3"/>
      <c r="DA640" s="3"/>
      <c r="DB640" s="3"/>
      <c r="DC640" s="3"/>
      <c r="DD640" s="3"/>
      <c r="DE640" s="3"/>
      <c r="DF640" s="3"/>
      <c r="DX640" s="1485" t="e">
        <f t="shared" si="29"/>
        <v>#VALUE!</v>
      </c>
      <c r="DY640" s="1485"/>
      <c r="DZ640" s="1485"/>
      <c r="EA640" s="1485"/>
      <c r="EB640" s="1485"/>
      <c r="EC640" s="1485">
        <f t="shared" si="24"/>
        <v>655.10126582278485</v>
      </c>
      <c r="ED640" s="1485"/>
      <c r="EE640" s="1485"/>
      <c r="EF640" s="1485"/>
      <c r="EG640" s="1485"/>
      <c r="EH640" s="1485" t="e">
        <f t="shared" si="25"/>
        <v>#VALUE!</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 customHeight="1">
      <c r="B641" s="1456" t="s">
        <v>269</v>
      </c>
      <c r="C641" s="1457"/>
      <c r="D641" s="1457"/>
      <c r="E641" s="1457"/>
      <c r="F641" s="1457"/>
      <c r="G641" s="1457"/>
      <c r="H641" s="1457"/>
      <c r="I641" s="1457"/>
      <c r="J641" s="1457"/>
      <c r="K641" s="1457"/>
      <c r="L641" s="1457"/>
      <c r="M641" s="1457"/>
      <c r="N641" s="1457"/>
      <c r="O641" s="1457"/>
      <c r="P641" s="1457"/>
      <c r="Q641" s="1457"/>
      <c r="R641" s="1457"/>
      <c r="S641" s="1457"/>
      <c r="T641" s="1457"/>
      <c r="U641" s="1457"/>
      <c r="V641" s="1457"/>
      <c r="W641" s="1457"/>
      <c r="X641" s="1457"/>
      <c r="Y641" s="1457"/>
      <c r="Z641" s="1457"/>
      <c r="AA641" s="1457"/>
      <c r="AB641" s="1457"/>
      <c r="AC641" s="1457"/>
      <c r="AD641" s="1457"/>
      <c r="AE641" s="1457"/>
      <c r="AF641" s="1457"/>
      <c r="AG641" s="1457"/>
      <c r="AH641" s="1457"/>
      <c r="AI641" s="1457"/>
      <c r="AJ641" s="1457"/>
      <c r="AK641" s="1457"/>
      <c r="AL641" s="1457"/>
      <c r="AM641" s="1457"/>
      <c r="AN641" s="1458"/>
      <c r="AO641" s="1654">
        <f>AO639+AO640</f>
        <v>75174582.090901256</v>
      </c>
      <c r="AP641" s="1655"/>
      <c r="AQ641" s="1655"/>
      <c r="AR641" s="1655"/>
      <c r="AS641" s="1656"/>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02"/>
      <c r="BP641" s="1502"/>
      <c r="BQ641" s="1502"/>
      <c r="BR641" s="1503"/>
      <c r="BS641" s="1496">
        <f>SUM(BS637:BW640)</f>
        <v>0</v>
      </c>
      <c r="BT641" s="1497"/>
      <c r="BU641" s="1497"/>
      <c r="BV641" s="1497"/>
      <c r="BW641" s="1498"/>
      <c r="BX641" s="1496">
        <f>SUM(BX637:CB640)</f>
        <v>1</v>
      </c>
      <c r="BY641" s="1497"/>
      <c r="BZ641" s="1497"/>
      <c r="CA641" s="1497"/>
      <c r="CB641" s="1498"/>
      <c r="CC641" s="1496">
        <f>SUM(CC637:CG640)</f>
        <v>0</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2050</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 customHeight="1">
      <c r="A643" s="55" t="s">
        <v>112</v>
      </c>
      <c r="B643" t="s">
        <v>472</v>
      </c>
      <c r="G643" s="1459" t="str">
        <f>C627</f>
        <v>Citi Bank - Perm Mortgage</v>
      </c>
      <c r="H643" s="1459"/>
      <c r="I643" s="1459"/>
      <c r="J643" s="1459"/>
      <c r="K643" s="1459"/>
      <c r="L643" s="1459"/>
      <c r="M643" s="1459"/>
      <c r="N643" s="1459"/>
      <c r="O643" s="1459"/>
      <c r="P643" s="1459"/>
      <c r="Q643" s="1459"/>
      <c r="R643" s="1459"/>
      <c r="S643" s="8"/>
      <c r="T643" s="55" t="s">
        <v>113</v>
      </c>
      <c r="U643" t="s">
        <v>472</v>
      </c>
      <c r="Z643" s="1459" t="str">
        <f>C628</f>
        <v>City of Berkeley Measure O</v>
      </c>
      <c r="AA643" s="1459"/>
      <c r="AB643" s="1459"/>
      <c r="AC643" s="1459"/>
      <c r="AD643" s="1459"/>
      <c r="AE643" s="1459"/>
      <c r="AF643" s="1459"/>
      <c r="AG643" s="1459"/>
      <c r="AH643" s="1459"/>
      <c r="AI643" s="1459"/>
      <c r="AJ643" s="1459"/>
      <c r="AK643" s="14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 customHeight="1">
      <c r="A644" s="22"/>
      <c r="B644" t="s">
        <v>85</v>
      </c>
      <c r="G644" s="1380" t="s">
        <v>2777</v>
      </c>
      <c r="H644" s="1380"/>
      <c r="I644" s="1380"/>
      <c r="J644" s="1380"/>
      <c r="K644" s="1380"/>
      <c r="L644" s="1380"/>
      <c r="M644" s="1380"/>
      <c r="N644" s="1380"/>
      <c r="O644" s="1380"/>
      <c r="P644" s="1380"/>
      <c r="Q644" s="1380"/>
      <c r="R644" s="1380"/>
      <c r="S644" s="8"/>
      <c r="T644" s="22"/>
      <c r="U644" t="s">
        <v>85</v>
      </c>
      <c r="Z644" s="1380" t="s">
        <v>2780</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 customHeight="1">
      <c r="A645" s="22"/>
      <c r="B645" t="s">
        <v>589</v>
      </c>
      <c r="G645" s="1380" t="s">
        <v>2778</v>
      </c>
      <c r="H645" s="1380"/>
      <c r="I645" s="1380"/>
      <c r="J645" s="1380"/>
      <c r="K645" s="1380"/>
      <c r="L645" s="1380"/>
      <c r="M645" s="1380"/>
      <c r="N645" s="1380"/>
      <c r="O645" s="1380"/>
      <c r="P645" s="1380"/>
      <c r="Q645" s="1380"/>
      <c r="R645" s="1380"/>
      <c r="T645" s="22"/>
      <c r="U645" t="s">
        <v>589</v>
      </c>
      <c r="Z645" s="1433" t="s">
        <v>2647</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95">
        <f t="shared" ref="BS645:BS654" si="31">IF(J787="1 Bedroom",O787,0)</f>
        <v>0</v>
      </c>
      <c r="BT645" s="1495"/>
      <c r="BU645" s="1495"/>
      <c r="BV645" s="1495"/>
      <c r="BW645" s="1495"/>
      <c r="BX645" s="1495">
        <f t="shared" ref="BX645:BX654" si="32">IF(J787="2 Bedrooms",O787,0)</f>
        <v>0</v>
      </c>
      <c r="BY645" s="1495"/>
      <c r="BZ645" s="1495"/>
      <c r="CA645" s="1495"/>
      <c r="CB645" s="1495"/>
      <c r="CC645" s="1495">
        <f t="shared" ref="CC645:CC654" si="33">IF(J787="3 Bedrooms",O787,0)</f>
        <v>0</v>
      </c>
      <c r="CD645" s="1495"/>
      <c r="CE645" s="1495"/>
      <c r="CF645" s="1495"/>
      <c r="CG645" s="1495"/>
      <c r="CH645" s="1495">
        <f t="shared" ref="CH645:CH654" si="34">IF(J787="4 Bedrooms",O787,0)</f>
        <v>0</v>
      </c>
      <c r="CI645" s="1495"/>
      <c r="CJ645" s="1495"/>
      <c r="CK645" s="1495"/>
      <c r="CL645" s="1495"/>
      <c r="CM645" s="1495">
        <f t="shared" ref="CM645:CM654" si="35">IF(J787="5 Bedrooms",O787,0)</f>
        <v>0</v>
      </c>
      <c r="CN645" s="1495"/>
      <c r="CO645" s="1495"/>
      <c r="CP645" s="1495"/>
      <c r="CQ645" s="1495"/>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 customHeight="1">
      <c r="A646" s="22"/>
      <c r="B646" t="s">
        <v>17</v>
      </c>
      <c r="G646" s="1380" t="s">
        <v>2705</v>
      </c>
      <c r="H646" s="1380"/>
      <c r="I646" s="1380"/>
      <c r="J646" s="1380"/>
      <c r="K646" s="1380"/>
      <c r="L646" s="1380"/>
      <c r="M646" s="1380"/>
      <c r="N646" s="1380"/>
      <c r="O646" s="1380"/>
      <c r="P646" s="1380"/>
      <c r="Q646" s="1380"/>
      <c r="R646" s="1380"/>
      <c r="S646" s="8"/>
      <c r="T646" s="22"/>
      <c r="U646" t="s">
        <v>17</v>
      </c>
      <c r="Z646" s="1433" t="s">
        <v>2781</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8">
        <f t="shared" si="30"/>
        <v>0</v>
      </c>
      <c r="BO646" s="1489"/>
      <c r="BP646" s="1489"/>
      <c r="BQ646" s="1489"/>
      <c r="BR646" s="1490"/>
      <c r="BS646" s="1495">
        <f t="shared" si="31"/>
        <v>0</v>
      </c>
      <c r="BT646" s="1495"/>
      <c r="BU646" s="1495"/>
      <c r="BV646" s="1495"/>
      <c r="BW646" s="1495"/>
      <c r="BX646" s="1495">
        <f t="shared" si="32"/>
        <v>0</v>
      </c>
      <c r="BY646" s="1495"/>
      <c r="BZ646" s="1495"/>
      <c r="CA646" s="1495"/>
      <c r="CB646" s="1495"/>
      <c r="CC646" s="1495">
        <f t="shared" si="33"/>
        <v>0</v>
      </c>
      <c r="CD646" s="1495"/>
      <c r="CE646" s="1495"/>
      <c r="CF646" s="1495"/>
      <c r="CG646" s="1495"/>
      <c r="CH646" s="1495">
        <f t="shared" si="34"/>
        <v>0</v>
      </c>
      <c r="CI646" s="1495"/>
      <c r="CJ646" s="1495"/>
      <c r="CK646" s="1495"/>
      <c r="CL646" s="1495"/>
      <c r="CM646" s="1495">
        <f t="shared" si="35"/>
        <v>0</v>
      </c>
      <c r="CN646" s="1495"/>
      <c r="CO646" s="1495"/>
      <c r="CP646" s="1495"/>
      <c r="CQ646" s="1495"/>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 customHeight="1">
      <c r="A647" s="22"/>
      <c r="B647" t="s">
        <v>317</v>
      </c>
      <c r="G647" s="1449" t="s">
        <v>2779</v>
      </c>
      <c r="H647" s="1390"/>
      <c r="I647" s="1390"/>
      <c r="J647" s="1390"/>
      <c r="K647" s="1390"/>
      <c r="L647" s="1390"/>
      <c r="O647" s="33" t="s">
        <v>207</v>
      </c>
      <c r="P647" s="1445"/>
      <c r="Q647" s="1445"/>
      <c r="R647" s="1445"/>
      <c r="S647" s="10"/>
      <c r="T647" s="22"/>
      <c r="U647" t="s">
        <v>317</v>
      </c>
      <c r="Z647" s="1449" t="s">
        <v>2784</v>
      </c>
      <c r="AA647" s="1390"/>
      <c r="AB647" s="1390"/>
      <c r="AC647" s="1390"/>
      <c r="AD647" s="1390"/>
      <c r="AE647" s="1390"/>
      <c r="AH647" s="33" t="s">
        <v>207</v>
      </c>
      <c r="AI647" s="1445"/>
      <c r="AJ647" s="1445"/>
      <c r="AK647" s="1445"/>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95">
        <f t="shared" si="31"/>
        <v>0</v>
      </c>
      <c r="BT647" s="1495"/>
      <c r="BU647" s="1495"/>
      <c r="BV647" s="1495"/>
      <c r="BW647" s="1495"/>
      <c r="BX647" s="1495">
        <f t="shared" si="32"/>
        <v>0</v>
      </c>
      <c r="BY647" s="1495"/>
      <c r="BZ647" s="1495"/>
      <c r="CA647" s="1495"/>
      <c r="CB647" s="1495"/>
      <c r="CC647" s="1495">
        <f t="shared" si="33"/>
        <v>0</v>
      </c>
      <c r="CD647" s="1495"/>
      <c r="CE647" s="1495"/>
      <c r="CF647" s="1495"/>
      <c r="CG647" s="1495"/>
      <c r="CH647" s="1495">
        <f t="shared" si="34"/>
        <v>0</v>
      </c>
      <c r="CI647" s="1495"/>
      <c r="CJ647" s="1495"/>
      <c r="CK647" s="1495"/>
      <c r="CL647" s="1495"/>
      <c r="CM647" s="1495">
        <f t="shared" si="35"/>
        <v>0</v>
      </c>
      <c r="CN647" s="1495"/>
      <c r="CO647" s="1495"/>
      <c r="CP647" s="1495"/>
      <c r="CQ647" s="1495"/>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 customHeight="1">
      <c r="A648" s="22"/>
      <c r="B648" t="s">
        <v>18</v>
      </c>
      <c r="H648" s="1380"/>
      <c r="I648" s="1380"/>
      <c r="J648" s="1380"/>
      <c r="K648" s="1380"/>
      <c r="L648" s="1380"/>
      <c r="M648" s="1380"/>
      <c r="N648" s="1380"/>
      <c r="O648" s="1380"/>
      <c r="P648" s="1380"/>
      <c r="Q648" s="1380"/>
      <c r="R648" s="1380"/>
      <c r="S648" s="8"/>
      <c r="T648" s="22"/>
      <c r="U648" t="s">
        <v>18</v>
      </c>
      <c r="AA648" s="1380"/>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95">
        <f t="shared" si="31"/>
        <v>0</v>
      </c>
      <c r="BT648" s="1495"/>
      <c r="BU648" s="1495"/>
      <c r="BV648" s="1495"/>
      <c r="BW648" s="1495"/>
      <c r="BX648" s="1495">
        <f t="shared" si="32"/>
        <v>0</v>
      </c>
      <c r="BY648" s="1495"/>
      <c r="BZ648" s="1495"/>
      <c r="CA648" s="1495"/>
      <c r="CB648" s="1495"/>
      <c r="CC648" s="1495">
        <f t="shared" si="33"/>
        <v>0</v>
      </c>
      <c r="CD648" s="1495"/>
      <c r="CE648" s="1495"/>
      <c r="CF648" s="1495"/>
      <c r="CG648" s="1495"/>
      <c r="CH648" s="1495">
        <f t="shared" si="34"/>
        <v>0</v>
      </c>
      <c r="CI648" s="1495"/>
      <c r="CJ648" s="1495"/>
      <c r="CK648" s="1495"/>
      <c r="CL648" s="1495"/>
      <c r="CM648" s="1495">
        <f t="shared" si="35"/>
        <v>0</v>
      </c>
      <c r="CN648" s="1495"/>
      <c r="CO648" s="1495"/>
      <c r="CP648" s="1495"/>
      <c r="CQ648" s="1495"/>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t="e">
        <f t="shared" si="26"/>
        <v>#VALUE!</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 customHeight="1">
      <c r="A649" s="22"/>
      <c r="B649" t="s">
        <v>20</v>
      </c>
      <c r="N649" s="1379" t="s">
        <v>678</v>
      </c>
      <c r="O649" s="1379"/>
      <c r="T649" s="22"/>
      <c r="U649" t="s">
        <v>20</v>
      </c>
      <c r="AG649" s="1379" t="s">
        <v>678</v>
      </c>
      <c r="AH649" s="1379"/>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95">
        <f t="shared" si="31"/>
        <v>0</v>
      </c>
      <c r="BT649" s="1495"/>
      <c r="BU649" s="1495"/>
      <c r="BV649" s="1495"/>
      <c r="BW649" s="1495"/>
      <c r="BX649" s="1495">
        <f t="shared" si="32"/>
        <v>0</v>
      </c>
      <c r="BY649" s="1495"/>
      <c r="BZ649" s="1495"/>
      <c r="CA649" s="1495"/>
      <c r="CB649" s="1495"/>
      <c r="CC649" s="1495">
        <f t="shared" si="33"/>
        <v>0</v>
      </c>
      <c r="CD649" s="1495"/>
      <c r="CE649" s="1495"/>
      <c r="CF649" s="1495"/>
      <c r="CG649" s="1495"/>
      <c r="CH649" s="1495">
        <f t="shared" si="34"/>
        <v>0</v>
      </c>
      <c r="CI649" s="1495"/>
      <c r="CJ649" s="1495"/>
      <c r="CK649" s="1495"/>
      <c r="CL649" s="1495"/>
      <c r="CM649" s="1495">
        <f t="shared" si="35"/>
        <v>0</v>
      </c>
      <c r="CN649" s="1495"/>
      <c r="CO649" s="1495"/>
      <c r="CP649" s="1495"/>
      <c r="CQ649" s="1495"/>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t="e">
        <f t="shared" si="26"/>
        <v>#VALUE!</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95">
        <f t="shared" si="31"/>
        <v>0</v>
      </c>
      <c r="BT650" s="1495"/>
      <c r="BU650" s="1495"/>
      <c r="BV650" s="1495"/>
      <c r="BW650" s="1495"/>
      <c r="BX650" s="1495">
        <f t="shared" si="32"/>
        <v>0</v>
      </c>
      <c r="BY650" s="1495"/>
      <c r="BZ650" s="1495"/>
      <c r="CA650" s="1495"/>
      <c r="CB650" s="1495"/>
      <c r="CC650" s="1495">
        <f t="shared" si="33"/>
        <v>0</v>
      </c>
      <c r="CD650" s="1495"/>
      <c r="CE650" s="1495"/>
      <c r="CF650" s="1495"/>
      <c r="CG650" s="1495"/>
      <c r="CH650" s="1495">
        <f t="shared" si="34"/>
        <v>0</v>
      </c>
      <c r="CI650" s="1495"/>
      <c r="CJ650" s="1495"/>
      <c r="CK650" s="1495"/>
      <c r="CL650" s="1495"/>
      <c r="CM650" s="1495">
        <f t="shared" si="35"/>
        <v>0</v>
      </c>
      <c r="CN650" s="1495"/>
      <c r="CO650" s="1495"/>
      <c r="CP650" s="1495"/>
      <c r="CQ650" s="1495"/>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 customHeight="1">
      <c r="A651" s="55" t="s">
        <v>119</v>
      </c>
      <c r="B651" t="s">
        <v>472</v>
      </c>
      <c r="G651" s="1459" t="str">
        <f>C629</f>
        <v>CA HCD MHP</v>
      </c>
      <c r="H651" s="1459"/>
      <c r="I651" s="1459"/>
      <c r="J651" s="1459"/>
      <c r="K651" s="1459"/>
      <c r="L651" s="1459"/>
      <c r="M651" s="1459"/>
      <c r="N651" s="1459"/>
      <c r="O651" s="1459"/>
      <c r="P651" s="1459"/>
      <c r="Q651" s="1459"/>
      <c r="R651" s="1459"/>
      <c r="T651" s="55" t="s">
        <v>590</v>
      </c>
      <c r="U651" t="s">
        <v>472</v>
      </c>
      <c r="Z651" s="1459" t="str">
        <f>C630</f>
        <v>City of Berkeley HTF</v>
      </c>
      <c r="AA651" s="1459"/>
      <c r="AB651" s="1459"/>
      <c r="AC651" s="1459"/>
      <c r="AD651" s="1459"/>
      <c r="AE651" s="1459"/>
      <c r="AF651" s="1459"/>
      <c r="AG651" s="1459"/>
      <c r="AH651" s="1459"/>
      <c r="AI651" s="1459"/>
      <c r="AJ651" s="1459"/>
      <c r="AK651" s="1459"/>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95">
        <f t="shared" si="31"/>
        <v>0</v>
      </c>
      <c r="BT651" s="1495"/>
      <c r="BU651" s="1495"/>
      <c r="BV651" s="1495"/>
      <c r="BW651" s="1495"/>
      <c r="BX651" s="1495">
        <f t="shared" si="32"/>
        <v>0</v>
      </c>
      <c r="BY651" s="1495"/>
      <c r="BZ651" s="1495"/>
      <c r="CA651" s="1495"/>
      <c r="CB651" s="1495"/>
      <c r="CC651" s="1495">
        <f t="shared" si="33"/>
        <v>0</v>
      </c>
      <c r="CD651" s="1495"/>
      <c r="CE651" s="1495"/>
      <c r="CF651" s="1495"/>
      <c r="CG651" s="1495"/>
      <c r="CH651" s="1495">
        <f t="shared" si="34"/>
        <v>0</v>
      </c>
      <c r="CI651" s="1495"/>
      <c r="CJ651" s="1495"/>
      <c r="CK651" s="1495"/>
      <c r="CL651" s="1495"/>
      <c r="CM651" s="1495">
        <f t="shared" si="35"/>
        <v>0</v>
      </c>
      <c r="CN651" s="1495"/>
      <c r="CO651" s="1495"/>
      <c r="CP651" s="1495"/>
      <c r="CQ651" s="1495"/>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 customHeight="1">
      <c r="A652" s="22"/>
      <c r="B652" t="s">
        <v>85</v>
      </c>
      <c r="G652" s="1380" t="s">
        <v>2782</v>
      </c>
      <c r="H652" s="1380"/>
      <c r="I652" s="1380"/>
      <c r="J652" s="1380"/>
      <c r="K652" s="1380"/>
      <c r="L652" s="1380"/>
      <c r="M652" s="1380"/>
      <c r="N652" s="1380"/>
      <c r="O652" s="1380"/>
      <c r="P652" s="1380"/>
      <c r="Q652" s="1380"/>
      <c r="R652" s="1380"/>
      <c r="T652" s="22"/>
      <c r="U652" t="s">
        <v>85</v>
      </c>
      <c r="Z652" s="1380" t="str">
        <f>Z644</f>
        <v xml:space="preserve">2180 Milvia Street </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95">
        <f t="shared" si="31"/>
        <v>0</v>
      </c>
      <c r="BT652" s="1495"/>
      <c r="BU652" s="1495"/>
      <c r="BV652" s="1495"/>
      <c r="BW652" s="1495"/>
      <c r="BX652" s="1495">
        <f t="shared" si="32"/>
        <v>0</v>
      </c>
      <c r="BY652" s="1495"/>
      <c r="BZ652" s="1495"/>
      <c r="CA652" s="1495"/>
      <c r="CB652" s="1495"/>
      <c r="CC652" s="1495">
        <f t="shared" si="33"/>
        <v>0</v>
      </c>
      <c r="CD652" s="1495"/>
      <c r="CE652" s="1495"/>
      <c r="CF652" s="1495"/>
      <c r="CG652" s="1495"/>
      <c r="CH652" s="1495">
        <f t="shared" si="34"/>
        <v>0</v>
      </c>
      <c r="CI652" s="1495"/>
      <c r="CJ652" s="1495"/>
      <c r="CK652" s="1495"/>
      <c r="CL652" s="1495"/>
      <c r="CM652" s="1495">
        <f t="shared" si="35"/>
        <v>0</v>
      </c>
      <c r="CN652" s="1495"/>
      <c r="CO652" s="1495"/>
      <c r="CP652" s="1495"/>
      <c r="CQ652" s="1495"/>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 customHeight="1">
      <c r="A653" s="22"/>
      <c r="B653" t="s">
        <v>589</v>
      </c>
      <c r="G653" s="1433" t="s">
        <v>68</v>
      </c>
      <c r="H653" s="1433"/>
      <c r="I653" s="1433"/>
      <c r="J653" s="1433"/>
      <c r="K653" s="1433"/>
      <c r="L653" s="1433"/>
      <c r="M653" s="1433"/>
      <c r="N653" s="1433"/>
      <c r="O653" s="1433"/>
      <c r="P653" s="1433"/>
      <c r="Q653" s="1433"/>
      <c r="R653" s="1433"/>
      <c r="T653" s="22"/>
      <c r="U653" t="s">
        <v>589</v>
      </c>
      <c r="Z653" s="1433" t="str">
        <f>Z645</f>
        <v>Berkeley</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95">
        <f t="shared" si="31"/>
        <v>0</v>
      </c>
      <c r="BT653" s="1495"/>
      <c r="BU653" s="1495"/>
      <c r="BV653" s="1495"/>
      <c r="BW653" s="1495"/>
      <c r="BX653" s="1495">
        <f t="shared" si="32"/>
        <v>0</v>
      </c>
      <c r="BY653" s="1495"/>
      <c r="BZ653" s="1495"/>
      <c r="CA653" s="1495"/>
      <c r="CB653" s="1495"/>
      <c r="CC653" s="1495">
        <f t="shared" si="33"/>
        <v>0</v>
      </c>
      <c r="CD653" s="1495"/>
      <c r="CE653" s="1495"/>
      <c r="CF653" s="1495"/>
      <c r="CG653" s="1495"/>
      <c r="CH653" s="1495">
        <f t="shared" si="34"/>
        <v>0</v>
      </c>
      <c r="CI653" s="1495"/>
      <c r="CJ653" s="1495"/>
      <c r="CK653" s="1495"/>
      <c r="CL653" s="1495"/>
      <c r="CM653" s="1495">
        <f t="shared" si="35"/>
        <v>0</v>
      </c>
      <c r="CN653" s="1495"/>
      <c r="CO653" s="1495"/>
      <c r="CP653" s="1495"/>
      <c r="CQ653" s="1495"/>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 customHeight="1">
      <c r="A654" s="22"/>
      <c r="B654" t="s">
        <v>17</v>
      </c>
      <c r="G654" s="1433" t="s">
        <v>2783</v>
      </c>
      <c r="H654" s="1433"/>
      <c r="I654" s="1433"/>
      <c r="J654" s="1433"/>
      <c r="K654" s="1433"/>
      <c r="L654" s="1433"/>
      <c r="M654" s="1433"/>
      <c r="N654" s="1433"/>
      <c r="O654" s="1433"/>
      <c r="P654" s="1433"/>
      <c r="Q654" s="1433"/>
      <c r="R654" s="1433"/>
      <c r="T654" s="22"/>
      <c r="U654" t="s">
        <v>17</v>
      </c>
      <c r="Z654" s="1433" t="str">
        <f>Z646</f>
        <v xml:space="preserve">Asavari Devadiga </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95">
        <f t="shared" si="31"/>
        <v>0</v>
      </c>
      <c r="BT654" s="1495"/>
      <c r="BU654" s="1495"/>
      <c r="BV654" s="1495"/>
      <c r="BW654" s="1495"/>
      <c r="BX654" s="1495">
        <f t="shared" si="32"/>
        <v>0</v>
      </c>
      <c r="BY654" s="1495"/>
      <c r="BZ654" s="1495"/>
      <c r="CA654" s="1495"/>
      <c r="CB654" s="1495"/>
      <c r="CC654" s="1495">
        <f t="shared" si="33"/>
        <v>0</v>
      </c>
      <c r="CD654" s="1495"/>
      <c r="CE654" s="1495"/>
      <c r="CF654" s="1495"/>
      <c r="CG654" s="1495"/>
      <c r="CH654" s="1495">
        <f t="shared" si="34"/>
        <v>0</v>
      </c>
      <c r="CI654" s="1495"/>
      <c r="CJ654" s="1495"/>
      <c r="CK654" s="1495"/>
      <c r="CL654" s="1495"/>
      <c r="CM654" s="1495">
        <f t="shared" si="35"/>
        <v>0</v>
      </c>
      <c r="CN654" s="1495"/>
      <c r="CO654" s="1495"/>
      <c r="CP654" s="1495"/>
      <c r="CQ654" s="1495"/>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 customHeight="1">
      <c r="A655" s="22"/>
      <c r="B655" t="s">
        <v>317</v>
      </c>
      <c r="G655" s="1390">
        <v>9169065663</v>
      </c>
      <c r="H655" s="1390"/>
      <c r="I655" s="1390"/>
      <c r="J655" s="1390"/>
      <c r="K655" s="1390"/>
      <c r="L655" s="1390"/>
      <c r="O655" s="33" t="s">
        <v>207</v>
      </c>
      <c r="P655" s="1445"/>
      <c r="Q655" s="1445"/>
      <c r="R655" s="1445"/>
      <c r="T655" s="22"/>
      <c r="U655" t="s">
        <v>317</v>
      </c>
      <c r="Z655" s="1449" t="s">
        <v>2784</v>
      </c>
      <c r="AA655" s="1390"/>
      <c r="AB655" s="1390"/>
      <c r="AC655" s="1390"/>
      <c r="AD655" s="1390"/>
      <c r="AE655" s="1390"/>
      <c r="AH655" s="33" t="s">
        <v>207</v>
      </c>
      <c r="AI655" s="1445"/>
      <c r="AJ655" s="1445"/>
      <c r="AK655" s="1445"/>
      <c r="AZ655" s="34"/>
      <c r="BA655" s="34"/>
      <c r="BB655" s="34"/>
      <c r="BC655" s="34"/>
      <c r="BD655" s="34"/>
      <c r="BE655" s="34"/>
      <c r="BF655" s="34"/>
      <c r="BG655" s="34"/>
      <c r="BH655" s="34"/>
      <c r="BI655" s="34"/>
      <c r="BJ655" s="34"/>
      <c r="BK655" s="34"/>
      <c r="BL655" s="34"/>
      <c r="BM655" s="34"/>
      <c r="BN655" s="1501">
        <f>SUM(BN645:BR654)</f>
        <v>0</v>
      </c>
      <c r="BO655" s="1502"/>
      <c r="BP655" s="1502"/>
      <c r="BQ655" s="1502"/>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 customHeight="1">
      <c r="A656" s="22"/>
      <c r="B656" t="s">
        <v>18</v>
      </c>
      <c r="H656" s="1380"/>
      <c r="I656" s="1380"/>
      <c r="J656" s="1380"/>
      <c r="K656" s="1380"/>
      <c r="L656" s="1380"/>
      <c r="M656" s="1380"/>
      <c r="N656" s="1380"/>
      <c r="O656" s="1380"/>
      <c r="P656" s="1380"/>
      <c r="Q656" s="1380"/>
      <c r="R656" s="1380"/>
      <c r="T656" s="22"/>
      <c r="U656" t="s">
        <v>18</v>
      </c>
      <c r="AA656" s="1380"/>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 customHeight="1">
      <c r="A657" s="22"/>
      <c r="B657" t="s">
        <v>20</v>
      </c>
      <c r="N657" s="1379" t="s">
        <v>678</v>
      </c>
      <c r="O657" s="1379"/>
      <c r="T657" s="22"/>
      <c r="U657" t="s">
        <v>20</v>
      </c>
      <c r="AG657" s="1379" t="s">
        <v>678</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 customHeight="1">
      <c r="A659" s="55" t="s">
        <v>773</v>
      </c>
      <c r="B659" t="s">
        <v>472</v>
      </c>
      <c r="G659" s="1459" t="str">
        <f>C631</f>
        <v>Deferred Developer Fee</v>
      </c>
      <c r="H659" s="1459"/>
      <c r="I659" s="1459"/>
      <c r="J659" s="1459"/>
      <c r="K659" s="1459"/>
      <c r="L659" s="1459"/>
      <c r="M659" s="1459"/>
      <c r="N659" s="1459"/>
      <c r="O659" s="1459"/>
      <c r="P659" s="1459"/>
      <c r="Q659" s="1459"/>
      <c r="R659" s="1459"/>
      <c r="T659" s="55" t="s">
        <v>593</v>
      </c>
      <c r="U659" t="s">
        <v>472</v>
      </c>
      <c r="Z659" s="1459" t="str">
        <f>C632</f>
        <v xml:space="preserve">GP Equity </v>
      </c>
      <c r="AA659" s="1459"/>
      <c r="AB659" s="1459"/>
      <c r="AC659" s="1459"/>
      <c r="AD659" s="1459"/>
      <c r="AE659" s="1459"/>
      <c r="AF659" s="1459"/>
      <c r="AG659" s="1459"/>
      <c r="AH659" s="1459"/>
      <c r="AI659" s="1459"/>
      <c r="AJ659" s="1459"/>
      <c r="AK659" s="145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 customHeight="1">
      <c r="A660" s="22"/>
      <c r="B660" t="s">
        <v>85</v>
      </c>
      <c r="G660" s="1380" t="s">
        <v>2776</v>
      </c>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79</v>
      </c>
      <c r="BT660" s="1497"/>
      <c r="BU660" s="1497"/>
      <c r="BV660" s="1497"/>
      <c r="BW660" s="1498"/>
      <c r="BX660" s="1496">
        <f>BX632+BX641+BX655</f>
        <v>1</v>
      </c>
      <c r="BY660" s="1497"/>
      <c r="BZ660" s="1497"/>
      <c r="CA660" s="1497"/>
      <c r="CB660" s="1498"/>
      <c r="CC660" s="1496">
        <f>CC632+CC641+CC655</f>
        <v>0</v>
      </c>
      <c r="CD660" s="1497"/>
      <c r="CE660" s="1497"/>
      <c r="CF660" s="1497"/>
      <c r="CG660" s="1498"/>
      <c r="CH660" s="1496">
        <f>CH632+CH641+CH655</f>
        <v>0</v>
      </c>
      <c r="CI660" s="1497"/>
      <c r="CJ660" s="1497"/>
      <c r="CK660" s="1497"/>
      <c r="CL660" s="1498"/>
      <c r="CM660" s="1492">
        <f>CM655+CM641+CM632</f>
        <v>0</v>
      </c>
      <c r="CN660" s="1493"/>
      <c r="CO660" s="1493"/>
      <c r="CP660" s="1493"/>
      <c r="CQ660" s="1494"/>
      <c r="CR660" s="3"/>
      <c r="CS660" s="895">
        <f>CS634+CS658</f>
        <v>79</v>
      </c>
      <c r="CT660" s="57" t="s">
        <v>2054</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 customHeight="1">
      <c r="A661" s="22"/>
      <c r="B661" t="s">
        <v>589</v>
      </c>
      <c r="G661" s="1380" t="s">
        <v>2655</v>
      </c>
      <c r="H661" s="1380"/>
      <c r="I661" s="1380"/>
      <c r="J661" s="1380"/>
      <c r="K661" s="1380"/>
      <c r="L661" s="1380"/>
      <c r="M661" s="1380"/>
      <c r="N661" s="1380"/>
      <c r="O661" s="1380"/>
      <c r="P661" s="1380"/>
      <c r="Q661" s="1380"/>
      <c r="R661" s="1380"/>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 customHeight="1">
      <c r="A662" s="22"/>
      <c r="B662" t="s">
        <v>17</v>
      </c>
      <c r="G662" s="1380" t="s">
        <v>2657</v>
      </c>
      <c r="H662" s="1380"/>
      <c r="I662" s="1380"/>
      <c r="J662" s="1380"/>
      <c r="K662" s="1380"/>
      <c r="L662" s="1380"/>
      <c r="M662" s="1380"/>
      <c r="N662" s="1380"/>
      <c r="O662" s="1380"/>
      <c r="P662" s="1380"/>
      <c r="Q662" s="1380"/>
      <c r="R662" s="1380"/>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 customHeight="1">
      <c r="A663" s="22"/>
      <c r="B663" t="s">
        <v>317</v>
      </c>
      <c r="G663" s="1449" t="s">
        <v>2785</v>
      </c>
      <c r="H663" s="1390"/>
      <c r="I663" s="1390"/>
      <c r="J663" s="1390"/>
      <c r="K663" s="1390"/>
      <c r="L663" s="1390"/>
      <c r="O663" s="33" t="s">
        <v>207</v>
      </c>
      <c r="P663" s="1445"/>
      <c r="Q663" s="1445"/>
      <c r="R663" s="1445"/>
      <c r="T663" s="22"/>
      <c r="U663" t="s">
        <v>317</v>
      </c>
      <c r="Z663" s="1390"/>
      <c r="AA663" s="1390"/>
      <c r="AB663" s="1390"/>
      <c r="AC663" s="1390"/>
      <c r="AD663" s="1390"/>
      <c r="AE663" s="1390"/>
      <c r="AH663" s="33" t="s">
        <v>207</v>
      </c>
      <c r="AI663" s="1445"/>
      <c r="AJ663" s="1445"/>
      <c r="AK663" s="144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 customHeight="1">
      <c r="A665" s="22"/>
      <c r="B665" t="s">
        <v>20</v>
      </c>
      <c r="N665" s="1379" t="s">
        <v>678</v>
      </c>
      <c r="O665" s="1379"/>
      <c r="T665" s="22"/>
      <c r="U665" t="s">
        <v>20</v>
      </c>
      <c r="AG665" s="1379" t="s">
        <v>678</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 customHeight="1">
      <c r="A667" s="55" t="s">
        <v>464</v>
      </c>
      <c r="B667" t="s">
        <v>472</v>
      </c>
      <c r="G667" s="1459" t="str">
        <f>C633</f>
        <v xml:space="preserve">GP Equity </v>
      </c>
      <c r="H667" s="1459"/>
      <c r="I667" s="1459"/>
      <c r="J667" s="1459"/>
      <c r="K667" s="1459"/>
      <c r="L667" s="1459"/>
      <c r="M667" s="1459"/>
      <c r="N667" s="1459"/>
      <c r="O667" s="1459"/>
      <c r="P667" s="1459"/>
      <c r="Q667" s="1459"/>
      <c r="R667" s="1459"/>
      <c r="T667" s="55" t="s">
        <v>465</v>
      </c>
      <c r="U667" t="s">
        <v>472</v>
      </c>
      <c r="Z667" s="1459">
        <f>C634</f>
        <v>0</v>
      </c>
      <c r="AA667" s="1459"/>
      <c r="AB667" s="1459"/>
      <c r="AC667" s="1459"/>
      <c r="AD667" s="1459"/>
      <c r="AE667" s="1459"/>
      <c r="AF667" s="1459"/>
      <c r="AG667" s="1459"/>
      <c r="AH667" s="1459"/>
      <c r="AI667" s="1459"/>
      <c r="AJ667" s="1459"/>
      <c r="AK667" s="1459"/>
      <c r="AZ667" s="3"/>
      <c r="BA667" s="118">
        <f t="shared" ref="BA667:BA699" si="48">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2920</v>
      </c>
      <c r="BB668" s="3"/>
      <c r="BC668" s="3"/>
      <c r="BD668" s="3"/>
      <c r="BE668" s="3"/>
      <c r="BF668" s="218"/>
      <c r="BG668" s="315">
        <f t="shared" ref="BG668:BG700" si="49">G718</f>
        <v>21</v>
      </c>
      <c r="BH668" s="319">
        <f t="shared" ref="BH668:BH702" si="50">IF($BG$703=0,0,BG668/$BG$703)</f>
        <v>0.26582278481012656</v>
      </c>
      <c r="BI668" s="320">
        <f t="shared" ref="BI668:BI691" si="51">IF(BH668=0,"",BH668*AC718)</f>
        <v>7.9746835443037969E-2</v>
      </c>
      <c r="BJ668" s="3"/>
      <c r="BK668" s="3"/>
      <c r="BL668" s="3"/>
      <c r="BM668" s="3"/>
      <c r="BN668" s="3"/>
      <c r="BO668" s="3"/>
      <c r="BT668" s="315">
        <f t="shared" ref="BT668:BT700" si="52">G718</f>
        <v>21</v>
      </c>
      <c r="BU668" s="319">
        <f t="shared" ref="BU668:BU702" si="53">IF($BT$703=0,0,BT668/$BT$703)</f>
        <v>0.26582278481012656</v>
      </c>
      <c r="BV668" s="320">
        <f t="shared" ref="BV668:BV700" si="54">IF(BU668=0,"",BU668*AH718)</f>
        <v>7.9746835443037969E-2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 customHeight="1">
      <c r="A669" s="22"/>
      <c r="B669" t="s">
        <v>589</v>
      </c>
      <c r="G669" s="1380"/>
      <c r="H669" s="1380"/>
      <c r="I669" s="1380"/>
      <c r="J669" s="1380"/>
      <c r="K669" s="1380"/>
      <c r="L669" s="1380"/>
      <c r="M669" s="1380"/>
      <c r="N669" s="1380"/>
      <c r="O669" s="1380"/>
      <c r="P669" s="1380"/>
      <c r="Q669" s="1380"/>
      <c r="R669" s="1380"/>
      <c r="T669" s="22"/>
      <c r="U669" t="s">
        <v>589</v>
      </c>
      <c r="Z669" s="1433"/>
      <c r="AA669" s="1433"/>
      <c r="AB669" s="1433"/>
      <c r="AC669" s="1433"/>
      <c r="AD669" s="1433"/>
      <c r="AE669" s="1433"/>
      <c r="AF669" s="1433"/>
      <c r="AG669" s="1433"/>
      <c r="AH669" s="1433"/>
      <c r="AI669" s="1433"/>
      <c r="AJ669" s="1433"/>
      <c r="AK669" s="1433"/>
      <c r="AZ669" s="3"/>
      <c r="BA669" s="118">
        <f t="shared" si="48"/>
        <v>2920</v>
      </c>
      <c r="BB669" s="3"/>
      <c r="BC669" s="3"/>
      <c r="BD669" s="3"/>
      <c r="BE669" s="3"/>
      <c r="BF669" s="218"/>
      <c r="BG669" s="316">
        <f t="shared" si="49"/>
        <v>8</v>
      </c>
      <c r="BH669" s="319">
        <f t="shared" si="50"/>
        <v>0.10126582278481013</v>
      </c>
      <c r="BI669" s="320">
        <f t="shared" si="51"/>
        <v>4.0506329113924051E-2</v>
      </c>
      <c r="BJ669" s="3"/>
      <c r="BK669" s="3"/>
      <c r="BL669" s="3"/>
      <c r="BM669" s="3"/>
      <c r="BN669" s="3"/>
      <c r="BO669" s="3"/>
      <c r="BT669" s="316">
        <f t="shared" si="52"/>
        <v>8</v>
      </c>
      <c r="BU669" s="319">
        <f t="shared" si="53"/>
        <v>0.10126582278481013</v>
      </c>
      <c r="BV669" s="320">
        <f t="shared" si="54"/>
        <v>4.0506329113924051E-2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 customHeight="1">
      <c r="A670" s="22"/>
      <c r="B670" t="s">
        <v>17</v>
      </c>
      <c r="G670" s="1380"/>
      <c r="H670" s="1380"/>
      <c r="I670" s="1380"/>
      <c r="J670" s="1380"/>
      <c r="K670" s="1380"/>
      <c r="L670" s="1380"/>
      <c r="M670" s="1380"/>
      <c r="N670" s="1380"/>
      <c r="O670" s="1380"/>
      <c r="P670" s="1380"/>
      <c r="Q670" s="1380"/>
      <c r="R670" s="1380"/>
      <c r="T670" s="22"/>
      <c r="U670" t="s">
        <v>17</v>
      </c>
      <c r="Z670" s="1433"/>
      <c r="AA670" s="1433"/>
      <c r="AB670" s="1433"/>
      <c r="AC670" s="1433"/>
      <c r="AD670" s="1433"/>
      <c r="AE670" s="1433"/>
      <c r="AF670" s="1433"/>
      <c r="AG670" s="1433"/>
      <c r="AH670" s="1433"/>
      <c r="AI670" s="1433"/>
      <c r="AJ670" s="1433"/>
      <c r="AK670" s="1433"/>
      <c r="AZ670" s="3"/>
      <c r="BA670" s="118">
        <f t="shared" si="48"/>
        <v>2920</v>
      </c>
      <c r="BB670" s="3"/>
      <c r="BC670" s="3"/>
      <c r="BD670" s="3"/>
      <c r="BE670" s="3"/>
      <c r="BF670" s="218"/>
      <c r="BG670" s="316">
        <f t="shared" si="49"/>
        <v>3</v>
      </c>
      <c r="BH670" s="319">
        <f t="shared" si="50"/>
        <v>3.7974683544303799E-2</v>
      </c>
      <c r="BI670" s="320">
        <f t="shared" si="51"/>
        <v>1.8987341772151899E-2</v>
      </c>
      <c r="BJ670" s="3"/>
      <c r="BK670" s="3"/>
      <c r="BL670" s="3"/>
      <c r="BM670" s="3"/>
      <c r="BN670" s="3"/>
      <c r="BO670" s="3"/>
      <c r="BT670" s="316">
        <f t="shared" si="52"/>
        <v>3</v>
      </c>
      <c r="BU670" s="319">
        <f t="shared" si="53"/>
        <v>3.7974683544303799E-2</v>
      </c>
      <c r="BV670" s="320">
        <f t="shared" si="54"/>
        <v>1.8987341772151899E-2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1075.6582278481014</v>
      </c>
      <c r="ED670" s="1485"/>
      <c r="EE670" s="1485"/>
      <c r="EF670" s="1485"/>
      <c r="EG670" s="1485"/>
      <c r="EH670" s="1485">
        <f>SUMIF(EH635:EL669,"&gt;0")</f>
        <v>0</v>
      </c>
      <c r="EI670" s="1485"/>
      <c r="EJ670" s="1485"/>
      <c r="EK670" s="1485"/>
      <c r="EL670" s="1485"/>
      <c r="EM670" s="1485">
        <f>SUMIF(EM635:EQ669,"&gt;0")</f>
        <v>0</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 customHeight="1">
      <c r="A671" s="22"/>
      <c r="B671" t="s">
        <v>317</v>
      </c>
      <c r="G671" s="1390"/>
      <c r="H671" s="1390"/>
      <c r="I671" s="1390"/>
      <c r="J671" s="1390"/>
      <c r="K671" s="1390"/>
      <c r="L671" s="1390"/>
      <c r="O671" s="33" t="s">
        <v>207</v>
      </c>
      <c r="P671" s="1445"/>
      <c r="Q671" s="1445"/>
      <c r="R671" s="1445"/>
      <c r="T671" s="22"/>
      <c r="U671" t="s">
        <v>317</v>
      </c>
      <c r="Z671" s="1390"/>
      <c r="AA671" s="1390"/>
      <c r="AB671" s="1390"/>
      <c r="AC671" s="1390"/>
      <c r="AD671" s="1390"/>
      <c r="AE671" s="1390"/>
      <c r="AH671" s="33" t="s">
        <v>207</v>
      </c>
      <c r="AI671" s="1445"/>
      <c r="AJ671" s="1445"/>
      <c r="AK671" s="1445"/>
      <c r="AZ671" s="3"/>
      <c r="BA671" s="118">
        <f t="shared" si="48"/>
        <v>2920</v>
      </c>
      <c r="BB671" s="3"/>
      <c r="BC671" s="3"/>
      <c r="BD671" s="3"/>
      <c r="BE671" s="3"/>
      <c r="BF671" s="218"/>
      <c r="BG671" s="316">
        <f t="shared" si="49"/>
        <v>4</v>
      </c>
      <c r="BH671" s="319">
        <f t="shared" si="50"/>
        <v>5.0632911392405063E-2</v>
      </c>
      <c r="BI671" s="320">
        <f t="shared" si="51"/>
        <v>1.5189873417721518E-2</v>
      </c>
      <c r="BJ671" s="3"/>
      <c r="BK671" s="3"/>
      <c r="BL671" s="3"/>
      <c r="BM671" s="3"/>
      <c r="BN671" s="3"/>
      <c r="BO671" s="3"/>
      <c r="BT671" s="316">
        <f t="shared" si="52"/>
        <v>4</v>
      </c>
      <c r="BU671" s="319">
        <f t="shared" si="53"/>
        <v>5.0632911392405063E-2</v>
      </c>
      <c r="BV671" s="320">
        <f t="shared" si="54"/>
        <v>7.5949367088607592E-3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2920</v>
      </c>
      <c r="BB672" s="3"/>
      <c r="BC672" s="3"/>
      <c r="BD672" s="3"/>
      <c r="BE672" s="3"/>
      <c r="BF672" s="218"/>
      <c r="BG672" s="316">
        <f t="shared" si="49"/>
        <v>4</v>
      </c>
      <c r="BH672" s="319">
        <f t="shared" si="50"/>
        <v>5.0632911392405063E-2</v>
      </c>
      <c r="BI672" s="320">
        <f t="shared" si="51"/>
        <v>2.0253164556962026E-2</v>
      </c>
      <c r="BJ672" s="3"/>
      <c r="BK672" s="3"/>
      <c r="BL672" s="3"/>
      <c r="BM672" s="3"/>
      <c r="BN672" s="3"/>
      <c r="BO672" s="3"/>
      <c r="BT672" s="316">
        <f t="shared" si="52"/>
        <v>4</v>
      </c>
      <c r="BU672" s="319">
        <f t="shared" si="53"/>
        <v>5.0632911392405063E-2</v>
      </c>
      <c r="BV672" s="320">
        <f t="shared" si="54"/>
        <v>2.0253164556962026E-2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379" t="s">
        <v>678</v>
      </c>
      <c r="O673" s="1379"/>
      <c r="T673" s="22"/>
      <c r="U673" t="s">
        <v>20</v>
      </c>
      <c r="AG673" s="1379" t="s">
        <v>678</v>
      </c>
      <c r="AH673" s="1379"/>
      <c r="AZ673" s="3"/>
      <c r="BA673" s="118" t="str">
        <f t="shared" si="48"/>
        <v>N/A</v>
      </c>
      <c r="BB673" s="3"/>
      <c r="BC673" s="3"/>
      <c r="BD673" s="3"/>
      <c r="BE673" s="3"/>
      <c r="BF673" s="218"/>
      <c r="BG673" s="316">
        <f t="shared" si="49"/>
        <v>39</v>
      </c>
      <c r="BH673" s="319">
        <f t="shared" si="50"/>
        <v>0.49367088607594939</v>
      </c>
      <c r="BI673" s="320">
        <f t="shared" si="51"/>
        <v>0.24683544303797469</v>
      </c>
      <c r="BJ673" s="3"/>
      <c r="BK673" s="3"/>
      <c r="BL673" s="3"/>
      <c r="BM673" s="3"/>
      <c r="BN673" s="3"/>
      <c r="BO673" s="3"/>
      <c r="BT673" s="316">
        <f t="shared" si="52"/>
        <v>39</v>
      </c>
      <c r="BU673" s="319">
        <f t="shared" si="53"/>
        <v>0.49367088607594939</v>
      </c>
      <c r="BV673" s="320">
        <f t="shared" si="54"/>
        <v>0.24683544303797469</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459">
        <f>C635</f>
        <v>0</v>
      </c>
      <c r="H675" s="1459"/>
      <c r="I675" s="1459"/>
      <c r="J675" s="1459"/>
      <c r="K675" s="1459"/>
      <c r="L675" s="1459"/>
      <c r="M675" s="1459"/>
      <c r="N675" s="1459"/>
      <c r="O675" s="1459"/>
      <c r="P675" s="1459"/>
      <c r="Q675" s="1459"/>
      <c r="R675" s="1459"/>
      <c r="T675" s="55" t="s">
        <v>655</v>
      </c>
      <c r="U675" t="s">
        <v>472</v>
      </c>
      <c r="Z675" s="1459">
        <f>C636</f>
        <v>0</v>
      </c>
      <c r="AA675" s="1459"/>
      <c r="AB675" s="1459"/>
      <c r="AC675" s="1459"/>
      <c r="AD675" s="1459"/>
      <c r="AE675" s="1459"/>
      <c r="AF675" s="1459"/>
      <c r="AG675" s="1459"/>
      <c r="AH675" s="1459"/>
      <c r="AI675" s="1459"/>
      <c r="AJ675" s="1459"/>
      <c r="AK675" s="145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380"/>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380"/>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390"/>
      <c r="H679" s="1390"/>
      <c r="I679" s="1390"/>
      <c r="J679" s="1390"/>
      <c r="K679" s="1390"/>
      <c r="L679" s="1390"/>
      <c r="O679" s="33" t="s">
        <v>207</v>
      </c>
      <c r="P679" s="1445"/>
      <c r="Q679" s="1445"/>
      <c r="R679" s="1445"/>
      <c r="T679" s="22"/>
      <c r="U679" t="s">
        <v>317</v>
      </c>
      <c r="Z679" s="1390"/>
      <c r="AA679" s="1390"/>
      <c r="AB679" s="1390"/>
      <c r="AC679" s="1390"/>
      <c r="AD679" s="1390"/>
      <c r="AE679" s="1390"/>
      <c r="AH679" s="33" t="s">
        <v>207</v>
      </c>
      <c r="AI679" s="1445"/>
      <c r="AJ679" s="1445"/>
      <c r="AK679" s="144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379" t="s">
        <v>678</v>
      </c>
      <c r="O681" s="1379"/>
      <c r="T681" s="22"/>
      <c r="U681" t="s">
        <v>20</v>
      </c>
      <c r="AG681" s="1379" t="s">
        <v>678</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459">
        <f>C637</f>
        <v>0</v>
      </c>
      <c r="H683" s="1459"/>
      <c r="I683" s="1459"/>
      <c r="J683" s="1459"/>
      <c r="K683" s="1459"/>
      <c r="L683" s="1459"/>
      <c r="M683" s="1459"/>
      <c r="N683" s="1459"/>
      <c r="O683" s="1459"/>
      <c r="P683" s="1459"/>
      <c r="Q683" s="1459"/>
      <c r="R683" s="1459"/>
      <c r="T683" s="55" t="s">
        <v>364</v>
      </c>
      <c r="U683" t="s">
        <v>472</v>
      </c>
      <c r="Z683" s="1459">
        <f>C638</f>
        <v>0</v>
      </c>
      <c r="AA683" s="1459"/>
      <c r="AB683" s="1459"/>
      <c r="AC683" s="1459"/>
      <c r="AD683" s="1459"/>
      <c r="AE683" s="1459"/>
      <c r="AF683" s="1459"/>
      <c r="AG683" s="1459"/>
      <c r="AH683" s="1459"/>
      <c r="AI683" s="1459"/>
      <c r="AJ683" s="1459"/>
      <c r="AK683" s="145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390"/>
      <c r="H687" s="1390"/>
      <c r="I687" s="1390"/>
      <c r="J687" s="1390"/>
      <c r="K687" s="1390"/>
      <c r="L687" s="1390"/>
      <c r="O687" s="33" t="s">
        <v>207</v>
      </c>
      <c r="P687" s="1445"/>
      <c r="Q687" s="1445"/>
      <c r="R687" s="1445"/>
      <c r="U687" t="s">
        <v>317</v>
      </c>
      <c r="Z687" s="1390"/>
      <c r="AA687" s="1390"/>
      <c r="AB687" s="1390"/>
      <c r="AC687" s="1390"/>
      <c r="AD687" s="1390"/>
      <c r="AE687" s="1390"/>
      <c r="AH687" s="33" t="s">
        <v>207</v>
      </c>
      <c r="AI687" s="1445"/>
      <c r="AJ687" s="1445"/>
      <c r="AK687" s="144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379" t="s">
        <v>678</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379" t="s">
        <v>678</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772">
        <v>45637</v>
      </c>
      <c r="AF696" s="1772"/>
      <c r="AG696" s="1772"/>
      <c r="AH696" s="1772"/>
      <c r="AI696" s="177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487">
        <v>45778</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770">
        <f>[2]EVERYTHING!$L$122</f>
        <v>0.54899999999999993</v>
      </c>
      <c r="AF699" s="1770"/>
      <c r="AG699" s="1770"/>
      <c r="AH699" s="1770"/>
      <c r="AI699" s="177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459" t="str">
        <f>H335</f>
        <v xml:space="preserve">California Municipal Finance Authority </v>
      </c>
      <c r="X700" s="1459"/>
      <c r="Y700" s="1459"/>
      <c r="Z700" s="1459"/>
      <c r="AA700" s="1459"/>
      <c r="AB700" s="1459"/>
      <c r="AC700" s="1459"/>
      <c r="AD700" s="1459"/>
      <c r="AE700" s="1459"/>
      <c r="AF700" s="1459"/>
      <c r="AG700" s="1459"/>
      <c r="AH700" s="1459"/>
      <c r="AI700" s="1459"/>
      <c r="AJ700" s="1459"/>
      <c r="AK700" s="145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79</v>
      </c>
      <c r="BH703" s="322">
        <f>SUM(BH668:BH702)</f>
        <v>1</v>
      </c>
      <c r="BI703" s="322">
        <f>SUM(BI668:BI702)</f>
        <v>0.42151898734177218</v>
      </c>
      <c r="BN703" s="3"/>
      <c r="BO703" s="3"/>
      <c r="BT703" s="893">
        <f>SUM(BT668:BT702)</f>
        <v>79</v>
      </c>
      <c r="BU703" s="322">
        <f>SUM(BU668:BU702)</f>
        <v>1</v>
      </c>
      <c r="BV703" s="322">
        <f>SUM(BV668:BV702)</f>
        <v>0.41392405063291138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390"/>
      <c r="K705" s="1390"/>
      <c r="L705" s="1390"/>
      <c r="M705" s="1390"/>
      <c r="N705" s="1390"/>
      <c r="O705" s="1390"/>
      <c r="P705" s="4" t="s">
        <v>207</v>
      </c>
      <c r="Q705" s="4"/>
      <c r="R705" s="1445"/>
      <c r="S705" s="1445"/>
      <c r="T705" s="144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381" t="s">
        <v>390</v>
      </c>
      <c r="C714" s="1382"/>
      <c r="D714" s="1382"/>
      <c r="E714" s="1382"/>
      <c r="F714" s="1383"/>
      <c r="G714" s="1381" t="s">
        <v>286</v>
      </c>
      <c r="H714" s="1382"/>
      <c r="I714" s="1382"/>
      <c r="J714" s="1383"/>
      <c r="K714" s="1755" t="s">
        <v>1867</v>
      </c>
      <c r="L714" s="1756"/>
      <c r="M714" s="1756"/>
      <c r="N714" s="1757"/>
      <c r="O714" s="1381" t="s">
        <v>456</v>
      </c>
      <c r="P714" s="1382"/>
      <c r="Q714" s="1382"/>
      <c r="R714" s="1382"/>
      <c r="S714" s="1383"/>
      <c r="T714" s="1486" t="s">
        <v>2251</v>
      </c>
      <c r="U714" s="1382"/>
      <c r="V714" s="1382"/>
      <c r="W714" s="1383"/>
      <c r="X714" s="1486" t="s">
        <v>2253</v>
      </c>
      <c r="Y714" s="1382"/>
      <c r="Z714" s="1382"/>
      <c r="AA714" s="1382"/>
      <c r="AB714" s="1383"/>
      <c r="AC714" s="1486" t="s">
        <v>2252</v>
      </c>
      <c r="AD714" s="1382"/>
      <c r="AE714" s="1382"/>
      <c r="AF714" s="1382"/>
      <c r="AG714" s="1383"/>
      <c r="AH714" s="1486" t="s">
        <v>2254</v>
      </c>
      <c r="AI714" s="1382"/>
      <c r="AJ714" s="1383"/>
      <c r="AK714" s="1486"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84"/>
      <c r="C715" s="1385"/>
      <c r="D715" s="1385"/>
      <c r="E715" s="1385"/>
      <c r="F715" s="1386"/>
      <c r="G715" s="1384"/>
      <c r="H715" s="1385"/>
      <c r="I715" s="1385"/>
      <c r="J715" s="1386"/>
      <c r="K715" s="1758"/>
      <c r="L715" s="1759"/>
      <c r="M715" s="1759"/>
      <c r="N715" s="1760"/>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84"/>
      <c r="C716" s="1385"/>
      <c r="D716" s="1385"/>
      <c r="E716" s="1385"/>
      <c r="F716" s="1386"/>
      <c r="G716" s="1384"/>
      <c r="H716" s="1385"/>
      <c r="I716" s="1385"/>
      <c r="J716" s="1386"/>
      <c r="K716" s="1758"/>
      <c r="L716" s="1759"/>
      <c r="M716" s="1759"/>
      <c r="N716" s="1760"/>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87"/>
      <c r="C717" s="1388"/>
      <c r="D717" s="1388"/>
      <c r="E717" s="1388"/>
      <c r="F717" s="1389"/>
      <c r="G717" s="1387"/>
      <c r="H717" s="1388"/>
      <c r="I717" s="1388"/>
      <c r="J717" s="1389"/>
      <c r="K717" s="1758"/>
      <c r="L717" s="1759"/>
      <c r="M717" s="1759"/>
      <c r="N717" s="1760"/>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62" t="s">
        <v>326</v>
      </c>
      <c r="C718" s="1363"/>
      <c r="D718" s="1363"/>
      <c r="E718" s="1363"/>
      <c r="F718" s="1364"/>
      <c r="G718" s="1359">
        <v>21</v>
      </c>
      <c r="H718" s="1360"/>
      <c r="I718" s="1360"/>
      <c r="J718" s="1361"/>
      <c r="K718" s="1356">
        <v>562</v>
      </c>
      <c r="L718" s="1357"/>
      <c r="M718" s="1357"/>
      <c r="N718" s="1358"/>
      <c r="O718" s="1353">
        <v>743</v>
      </c>
      <c r="P718" s="1354"/>
      <c r="Q718" s="1354"/>
      <c r="R718" s="1354"/>
      <c r="S718" s="1355"/>
      <c r="T718" s="1353">
        <v>133</v>
      </c>
      <c r="U718" s="1354"/>
      <c r="V718" s="1354"/>
      <c r="W718" s="1355"/>
      <c r="X718" s="1367">
        <f t="shared" ref="X718:X741" si="59">O718+T718</f>
        <v>876</v>
      </c>
      <c r="Y718" s="1368"/>
      <c r="Z718" s="1368"/>
      <c r="AA718" s="1368"/>
      <c r="AB718" s="1369"/>
      <c r="AC718" s="1371">
        <v>0.3</v>
      </c>
      <c r="AD718" s="1372"/>
      <c r="AE718" s="1372"/>
      <c r="AF718" s="1372"/>
      <c r="AG718" s="1373"/>
      <c r="AH718" s="1394">
        <f t="shared" ref="AH718:AH751" si="60">IF($AC718&gt;0,($X718/$BA667), "")</f>
        <v>0.3</v>
      </c>
      <c r="AI718" s="1395"/>
      <c r="AJ718" s="1396"/>
      <c r="AK718" s="1362" t="s">
        <v>2417</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62" t="s">
        <v>326</v>
      </c>
      <c r="C719" s="1363"/>
      <c r="D719" s="1363"/>
      <c r="E719" s="1363"/>
      <c r="F719" s="1364"/>
      <c r="G719" s="1359">
        <v>8</v>
      </c>
      <c r="H719" s="1360"/>
      <c r="I719" s="1360"/>
      <c r="J719" s="1361"/>
      <c r="K719" s="1356">
        <v>562</v>
      </c>
      <c r="L719" s="1357"/>
      <c r="M719" s="1357"/>
      <c r="N719" s="1358"/>
      <c r="O719" s="1353">
        <v>1035</v>
      </c>
      <c r="P719" s="1354"/>
      <c r="Q719" s="1354"/>
      <c r="R719" s="1354"/>
      <c r="S719" s="1355"/>
      <c r="T719" s="1353">
        <v>133</v>
      </c>
      <c r="U719" s="1354"/>
      <c r="V719" s="1354"/>
      <c r="W719" s="1355"/>
      <c r="X719" s="1367">
        <f t="shared" si="59"/>
        <v>1168</v>
      </c>
      <c r="Y719" s="1368"/>
      <c r="Z719" s="1368"/>
      <c r="AA719" s="1368"/>
      <c r="AB719" s="1369"/>
      <c r="AC719" s="1371">
        <v>0.4</v>
      </c>
      <c r="AD719" s="1372"/>
      <c r="AE719" s="1372"/>
      <c r="AF719" s="1372"/>
      <c r="AG719" s="1373"/>
      <c r="AH719" s="1394">
        <f t="shared" si="60"/>
        <v>0.4</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62" t="s">
        <v>326</v>
      </c>
      <c r="C720" s="1363"/>
      <c r="D720" s="1363"/>
      <c r="E720" s="1363"/>
      <c r="F720" s="1364"/>
      <c r="G720" s="1359">
        <v>3</v>
      </c>
      <c r="H720" s="1360"/>
      <c r="I720" s="1360"/>
      <c r="J720" s="1361"/>
      <c r="K720" s="1356">
        <v>562</v>
      </c>
      <c r="L720" s="1357"/>
      <c r="M720" s="1357"/>
      <c r="N720" s="1358"/>
      <c r="O720" s="1353">
        <v>1327</v>
      </c>
      <c r="P720" s="1354"/>
      <c r="Q720" s="1354"/>
      <c r="R720" s="1354"/>
      <c r="S720" s="1355"/>
      <c r="T720" s="1353">
        <v>133</v>
      </c>
      <c r="U720" s="1354"/>
      <c r="V720" s="1354"/>
      <c r="W720" s="1355"/>
      <c r="X720" s="1367">
        <f t="shared" si="59"/>
        <v>1460</v>
      </c>
      <c r="Y720" s="1368"/>
      <c r="Z720" s="1368"/>
      <c r="AA720" s="1368"/>
      <c r="AB720" s="1369"/>
      <c r="AC720" s="1371">
        <v>0.5</v>
      </c>
      <c r="AD720" s="1372"/>
      <c r="AE720" s="1372"/>
      <c r="AF720" s="1372"/>
      <c r="AG720" s="1373"/>
      <c r="AH720" s="1394">
        <f t="shared" si="60"/>
        <v>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62" t="s">
        <v>326</v>
      </c>
      <c r="C721" s="1363"/>
      <c r="D721" s="1363"/>
      <c r="E721" s="1363"/>
      <c r="F721" s="1364"/>
      <c r="G721" s="1359">
        <v>4</v>
      </c>
      <c r="H721" s="1360"/>
      <c r="I721" s="1360"/>
      <c r="J721" s="1361"/>
      <c r="K721" s="1356">
        <v>562</v>
      </c>
      <c r="L721" s="1357"/>
      <c r="M721" s="1357"/>
      <c r="N721" s="1358"/>
      <c r="O721" s="1353">
        <v>305</v>
      </c>
      <c r="P721" s="1354"/>
      <c r="Q721" s="1354"/>
      <c r="R721" s="1354"/>
      <c r="S721" s="1355"/>
      <c r="T721" s="1353">
        <v>133</v>
      </c>
      <c r="U721" s="1354"/>
      <c r="V721" s="1354"/>
      <c r="W721" s="1355"/>
      <c r="X721" s="1367">
        <f t="shared" si="59"/>
        <v>438</v>
      </c>
      <c r="Y721" s="1368"/>
      <c r="Z721" s="1368"/>
      <c r="AA721" s="1368"/>
      <c r="AB721" s="1369"/>
      <c r="AC721" s="1371">
        <v>0.3</v>
      </c>
      <c r="AD721" s="1372"/>
      <c r="AE721" s="1372"/>
      <c r="AF721" s="1372"/>
      <c r="AG721" s="1373"/>
      <c r="AH721" s="1394">
        <f t="shared" si="60"/>
        <v>0.15</v>
      </c>
      <c r="AI721" s="1395"/>
      <c r="AJ721" s="1396"/>
      <c r="AK721" s="1362" t="s">
        <v>2417</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62" t="s">
        <v>326</v>
      </c>
      <c r="C722" s="1363"/>
      <c r="D722" s="1363"/>
      <c r="E722" s="1363"/>
      <c r="F722" s="1364"/>
      <c r="G722" s="1359">
        <v>4</v>
      </c>
      <c r="H722" s="1360"/>
      <c r="I722" s="1360"/>
      <c r="J722" s="1361"/>
      <c r="K722" s="1356">
        <v>562</v>
      </c>
      <c r="L722" s="1357"/>
      <c r="M722" s="1357"/>
      <c r="N722" s="1358"/>
      <c r="O722" s="1353">
        <v>1035</v>
      </c>
      <c r="P722" s="1354"/>
      <c r="Q722" s="1354"/>
      <c r="R722" s="1354"/>
      <c r="S722" s="1355"/>
      <c r="T722" s="1353">
        <v>133</v>
      </c>
      <c r="U722" s="1354"/>
      <c r="V722" s="1354"/>
      <c r="W722" s="1355"/>
      <c r="X722" s="1367">
        <f t="shared" si="59"/>
        <v>1168</v>
      </c>
      <c r="Y722" s="1368"/>
      <c r="Z722" s="1368"/>
      <c r="AA722" s="1368"/>
      <c r="AB722" s="1369"/>
      <c r="AC722" s="1371">
        <v>0.4</v>
      </c>
      <c r="AD722" s="1372"/>
      <c r="AE722" s="1372"/>
      <c r="AF722" s="1372"/>
      <c r="AG722" s="1373"/>
      <c r="AH722" s="1394">
        <f t="shared" si="60"/>
        <v>0.4</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62" t="s">
        <v>326</v>
      </c>
      <c r="C723" s="1363"/>
      <c r="D723" s="1363"/>
      <c r="E723" s="1363"/>
      <c r="F723" s="1364"/>
      <c r="G723" s="1359">
        <v>39</v>
      </c>
      <c r="H723" s="1360"/>
      <c r="I723" s="1360"/>
      <c r="J723" s="1361"/>
      <c r="K723" s="1356">
        <v>562</v>
      </c>
      <c r="L723" s="1357"/>
      <c r="M723" s="1357"/>
      <c r="N723" s="1358"/>
      <c r="O723" s="1353">
        <v>1327</v>
      </c>
      <c r="P723" s="1354"/>
      <c r="Q723" s="1354"/>
      <c r="R723" s="1354"/>
      <c r="S723" s="1355"/>
      <c r="T723" s="1353">
        <v>133</v>
      </c>
      <c r="U723" s="1354"/>
      <c r="V723" s="1354"/>
      <c r="W723" s="1355"/>
      <c r="X723" s="1367">
        <f t="shared" si="59"/>
        <v>1460</v>
      </c>
      <c r="Y723" s="1368"/>
      <c r="Z723" s="1368"/>
      <c r="AA723" s="1368"/>
      <c r="AB723" s="1369"/>
      <c r="AC723" s="1371">
        <v>0.5</v>
      </c>
      <c r="AD723" s="1372"/>
      <c r="AE723" s="1372"/>
      <c r="AF723" s="1372"/>
      <c r="AG723" s="1373"/>
      <c r="AH723" s="1394">
        <f t="shared" si="60"/>
        <v>0.5</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62"/>
      <c r="C724" s="1363"/>
      <c r="D724" s="1363"/>
      <c r="E724" s="1363"/>
      <c r="F724" s="1364"/>
      <c r="G724" s="1359"/>
      <c r="H724" s="1360"/>
      <c r="I724" s="1360"/>
      <c r="J724" s="1361"/>
      <c r="K724" s="1356"/>
      <c r="L724" s="1357"/>
      <c r="M724" s="1357"/>
      <c r="N724" s="1358"/>
      <c r="O724" s="1353"/>
      <c r="P724" s="1354"/>
      <c r="Q724" s="1354"/>
      <c r="R724" s="1354"/>
      <c r="S724" s="1355"/>
      <c r="T724" s="1353"/>
      <c r="U724" s="1354"/>
      <c r="V724" s="1354"/>
      <c r="W724" s="1355"/>
      <c r="X724" s="1367">
        <f t="shared" si="59"/>
        <v>0</v>
      </c>
      <c r="Y724" s="1368"/>
      <c r="Z724" s="1368"/>
      <c r="AA724" s="1368"/>
      <c r="AB724" s="1369"/>
      <c r="AC724" s="1371"/>
      <c r="AD724" s="1372"/>
      <c r="AE724" s="1372"/>
      <c r="AF724" s="1372"/>
      <c r="AG724" s="1373"/>
      <c r="AH724" s="1394" t="str">
        <f t="shared" si="60"/>
        <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62"/>
      <c r="C725" s="1363"/>
      <c r="D725" s="1363"/>
      <c r="E725" s="1363"/>
      <c r="F725" s="1364"/>
      <c r="G725" s="1359"/>
      <c r="H725" s="1360"/>
      <c r="I725" s="1360"/>
      <c r="J725" s="1361"/>
      <c r="K725" s="1356"/>
      <c r="L725" s="1357"/>
      <c r="M725" s="1357"/>
      <c r="N725" s="1358"/>
      <c r="O725" s="1353"/>
      <c r="P725" s="1354"/>
      <c r="Q725" s="1354"/>
      <c r="R725" s="1354"/>
      <c r="S725" s="1355"/>
      <c r="T725" s="1353"/>
      <c r="U725" s="1354"/>
      <c r="V725" s="1354"/>
      <c r="W725" s="1355"/>
      <c r="X725" s="1367">
        <f t="shared" si="59"/>
        <v>0</v>
      </c>
      <c r="Y725" s="1368"/>
      <c r="Z725" s="1368"/>
      <c r="AA725" s="1368"/>
      <c r="AB725" s="1369"/>
      <c r="AC725" s="1371"/>
      <c r="AD725" s="1372"/>
      <c r="AE725" s="1372"/>
      <c r="AF725" s="1372"/>
      <c r="AG725" s="1373"/>
      <c r="AH725" s="1394" t="str">
        <f t="shared" si="60"/>
        <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59"/>
        <v>0</v>
      </c>
      <c r="Y726" s="1368"/>
      <c r="Z726" s="1368"/>
      <c r="AA726" s="1368"/>
      <c r="AB726" s="1369"/>
      <c r="AC726" s="1371"/>
      <c r="AD726" s="1372"/>
      <c r="AE726" s="1372"/>
      <c r="AF726" s="1372"/>
      <c r="AG726" s="1373"/>
      <c r="AH726" s="1394" t="str">
        <f t="shared" si="60"/>
        <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59"/>
        <v>0</v>
      </c>
      <c r="Y727" s="1368"/>
      <c r="Z727" s="1368"/>
      <c r="AA727" s="1368"/>
      <c r="AB727" s="1369"/>
      <c r="AC727" s="1371"/>
      <c r="AD727" s="1372"/>
      <c r="AE727" s="1372"/>
      <c r="AF727" s="1372"/>
      <c r="AG727" s="1373"/>
      <c r="AH727" s="1394" t="str">
        <f t="shared" si="60"/>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59"/>
        <v>0</v>
      </c>
      <c r="Y728" s="1368"/>
      <c r="Z728" s="1368"/>
      <c r="AA728" s="1368"/>
      <c r="AB728" s="1369"/>
      <c r="AC728" s="1371"/>
      <c r="AD728" s="1372"/>
      <c r="AE728" s="1372"/>
      <c r="AF728" s="1372"/>
      <c r="AG728" s="1373"/>
      <c r="AH728" s="1394" t="str">
        <f t="shared" si="60"/>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59"/>
        <v>0</v>
      </c>
      <c r="Y729" s="1368"/>
      <c r="Z729" s="1368"/>
      <c r="AA729" s="1368"/>
      <c r="AB729" s="1369"/>
      <c r="AC729" s="1371"/>
      <c r="AD729" s="1372"/>
      <c r="AE729" s="1372"/>
      <c r="AF729" s="1372"/>
      <c r="AG729" s="1373"/>
      <c r="AH729" s="1394" t="str">
        <f t="shared" si="60"/>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59"/>
        <v>0</v>
      </c>
      <c r="Y730" s="1368"/>
      <c r="Z730" s="1368"/>
      <c r="AA730" s="1368"/>
      <c r="AB730" s="1369"/>
      <c r="AC730" s="1371"/>
      <c r="AD730" s="1372"/>
      <c r="AE730" s="1372"/>
      <c r="AF730" s="1372"/>
      <c r="AG730" s="1373"/>
      <c r="AH730" s="1394" t="str">
        <f t="shared" si="60"/>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59"/>
        <v>0</v>
      </c>
      <c r="Y731" s="1368"/>
      <c r="Z731" s="1368"/>
      <c r="AA731" s="1368"/>
      <c r="AB731" s="1369"/>
      <c r="AC731" s="1371"/>
      <c r="AD731" s="1372"/>
      <c r="AE731" s="1372"/>
      <c r="AF731" s="1372"/>
      <c r="AG731" s="1373"/>
      <c r="AH731" s="1394" t="str">
        <f t="shared" si="60"/>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59"/>
        <v>0</v>
      </c>
      <c r="Y732" s="1368"/>
      <c r="Z732" s="1368"/>
      <c r="AA732" s="1368"/>
      <c r="AB732" s="1369"/>
      <c r="AC732" s="1371"/>
      <c r="AD732" s="1372"/>
      <c r="AE732" s="1372"/>
      <c r="AF732" s="1372"/>
      <c r="AG732" s="1373"/>
      <c r="AH732" s="1394" t="str">
        <f t="shared" si="60"/>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59"/>
        <v>0</v>
      </c>
      <c r="Y733" s="1368"/>
      <c r="Z733" s="1368"/>
      <c r="AA733" s="1368"/>
      <c r="AB733" s="1369"/>
      <c r="AC733" s="1371"/>
      <c r="AD733" s="1372"/>
      <c r="AE733" s="1372"/>
      <c r="AF733" s="1372"/>
      <c r="AG733" s="1373"/>
      <c r="AH733" s="1394" t="str">
        <f t="shared" si="60"/>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4" t="str">
        <f t="shared" si="60"/>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4" t="str">
        <f t="shared" si="60"/>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4" t="str">
        <f t="shared" si="60"/>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4" t="str">
        <f t="shared" si="60"/>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4" t="str">
        <f t="shared" si="60"/>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453" t="s">
        <v>125</v>
      </c>
      <c r="C753" s="1454"/>
      <c r="D753" s="1454"/>
      <c r="E753" s="1454"/>
      <c r="F753" s="1455"/>
      <c r="G753" s="1642">
        <f>SUM(G718:G752)</f>
        <v>79</v>
      </c>
      <c r="H753" s="1643"/>
      <c r="I753" s="1643"/>
      <c r="J753" s="1644"/>
      <c r="K753" s="937" t="s">
        <v>124</v>
      </c>
      <c r="L753" s="5"/>
      <c r="M753" s="5"/>
      <c r="N753" s="46"/>
      <c r="O753" s="1367">
        <f>SUMPRODUCT(G718:G752,O718:O752)</f>
        <v>84977</v>
      </c>
      <c r="P753" s="1368"/>
      <c r="Q753" s="1368"/>
      <c r="R753" s="1368"/>
      <c r="S753" s="1369"/>
      <c r="T753"/>
      <c r="U753"/>
      <c r="V753"/>
      <c r="W753"/>
      <c r="X753" s="939" t="s">
        <v>916</v>
      </c>
      <c r="Y753" s="938"/>
      <c r="Z753" s="938"/>
      <c r="AA753" s="938"/>
      <c r="AB753" s="940"/>
      <c r="AC753" s="1650">
        <f>BI703</f>
        <v>0.42151898734177218</v>
      </c>
      <c r="AD753" s="1651"/>
      <c r="AE753" s="1651"/>
      <c r="AF753" s="1651"/>
      <c r="AG753" s="1652"/>
      <c r="AH753" s="1650">
        <f>IFERROR(BV703,"")</f>
        <v>0.41392405063291138</v>
      </c>
      <c r="AI753" s="1651"/>
      <c r="AJ753" s="165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499">
        <f>CS634</f>
        <v>79</v>
      </c>
      <c r="P756" s="1499"/>
      <c r="Q756" s="1499"/>
      <c r="R756" s="1499"/>
      <c r="S756" s="1004"/>
      <c r="T756" s="1004"/>
      <c r="U756" s="118" t="s">
        <v>2181</v>
      </c>
      <c r="V756" s="1067"/>
      <c r="W756" s="1067"/>
      <c r="X756" s="1067"/>
      <c r="Y756" s="1068"/>
      <c r="Z756" s="1068"/>
      <c r="AA756" s="1068"/>
      <c r="AB756" s="1068"/>
      <c r="AC756" s="1067"/>
      <c r="AD756" s="1067"/>
      <c r="AE756" s="1067"/>
      <c r="AF756" s="1067"/>
      <c r="AG756" s="1657"/>
      <c r="AH756" s="1657"/>
      <c r="AI756" s="1657"/>
      <c r="AJ756" s="165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5" t="s">
        <v>600</v>
      </c>
      <c r="AE759" s="1645"/>
      <c r="AF759" s="164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381" t="s">
        <v>390</v>
      </c>
      <c r="K769" s="1382"/>
      <c r="L769" s="1382"/>
      <c r="M769" s="1382"/>
      <c r="N769" s="1383"/>
      <c r="O769" s="1366" t="s">
        <v>286</v>
      </c>
      <c r="P769" s="1366"/>
      <c r="Q769" s="1366"/>
      <c r="R769" s="1366"/>
      <c r="S769" s="1366"/>
      <c r="T769" s="1755" t="s">
        <v>1867</v>
      </c>
      <c r="U769" s="1756"/>
      <c r="V769" s="1756"/>
      <c r="W769" s="1757"/>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84"/>
      <c r="K770" s="1385"/>
      <c r="L770" s="1385"/>
      <c r="M770" s="1385"/>
      <c r="N770" s="1386"/>
      <c r="O770" s="1366"/>
      <c r="P770" s="1366"/>
      <c r="Q770" s="1366"/>
      <c r="R770" s="1366"/>
      <c r="S770" s="1366"/>
      <c r="T770" s="1758"/>
      <c r="U770" s="1759"/>
      <c r="V770" s="1759"/>
      <c r="W770" s="1760"/>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84"/>
      <c r="K771" s="1385"/>
      <c r="L771" s="1385"/>
      <c r="M771" s="1385"/>
      <c r="N771" s="1386"/>
      <c r="O771" s="1366"/>
      <c r="P771" s="1366"/>
      <c r="Q771" s="1366"/>
      <c r="R771" s="1366"/>
      <c r="S771" s="1366"/>
      <c r="T771" s="1758"/>
      <c r="U771" s="1759"/>
      <c r="V771" s="1759"/>
      <c r="W771" s="1760"/>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87"/>
      <c r="K772" s="1388"/>
      <c r="L772" s="1388"/>
      <c r="M772" s="1388"/>
      <c r="N772" s="1389"/>
      <c r="O772" s="1366"/>
      <c r="P772" s="1366"/>
      <c r="Q772" s="1366"/>
      <c r="R772" s="1366"/>
      <c r="S772" s="1366"/>
      <c r="T772" s="1761"/>
      <c r="U772" s="1762"/>
      <c r="V772" s="1762"/>
      <c r="W772" s="1763"/>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62" t="s">
        <v>163</v>
      </c>
      <c r="K773" s="1363"/>
      <c r="L773" s="1363"/>
      <c r="M773" s="1363"/>
      <c r="N773" s="1364"/>
      <c r="O773" s="1365">
        <v>1</v>
      </c>
      <c r="P773" s="1365"/>
      <c r="Q773" s="1365"/>
      <c r="R773" s="1365"/>
      <c r="S773" s="1365"/>
      <c r="T773" s="1356">
        <v>841</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453" t="s">
        <v>125</v>
      </c>
      <c r="K777" s="1454"/>
      <c r="L777" s="1454"/>
      <c r="M777" s="1454"/>
      <c r="N777" s="1455"/>
      <c r="O777" s="1501">
        <f>SUM(O773:S776)</f>
        <v>1</v>
      </c>
      <c r="P777" s="1502"/>
      <c r="Q777" s="1502"/>
      <c r="R777" s="1502"/>
      <c r="S777" s="1503"/>
      <c r="X777" s="1453" t="s">
        <v>124</v>
      </c>
      <c r="Y777" s="1454"/>
      <c r="Z777" s="1454"/>
      <c r="AA777" s="1454"/>
      <c r="AB777" s="1455"/>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646" t="s">
        <v>678</v>
      </c>
      <c r="K779" s="1646"/>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381" t="s">
        <v>390</v>
      </c>
      <c r="K783" s="1382"/>
      <c r="L783" s="1382"/>
      <c r="M783" s="1382"/>
      <c r="N783" s="1383"/>
      <c r="O783" s="1366" t="s">
        <v>286</v>
      </c>
      <c r="P783" s="1366"/>
      <c r="Q783" s="1366"/>
      <c r="R783" s="1366"/>
      <c r="S783" s="1366"/>
      <c r="T783" s="1755" t="s">
        <v>1867</v>
      </c>
      <c r="U783" s="1756"/>
      <c r="V783" s="1756"/>
      <c r="W783" s="1757"/>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84"/>
      <c r="K784" s="1385"/>
      <c r="L784" s="1385"/>
      <c r="M784" s="1385"/>
      <c r="N784" s="1386"/>
      <c r="O784" s="1366"/>
      <c r="P784" s="1366"/>
      <c r="Q784" s="1366"/>
      <c r="R784" s="1366"/>
      <c r="S784" s="1366"/>
      <c r="T784" s="1758"/>
      <c r="U784" s="1759"/>
      <c r="V784" s="1759"/>
      <c r="W784" s="1760"/>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84"/>
      <c r="K785" s="1385"/>
      <c r="L785" s="1385"/>
      <c r="M785" s="1385"/>
      <c r="N785" s="1386"/>
      <c r="O785" s="1366"/>
      <c r="P785" s="1366"/>
      <c r="Q785" s="1366"/>
      <c r="R785" s="1366"/>
      <c r="S785" s="1366"/>
      <c r="T785" s="1758"/>
      <c r="U785" s="1759"/>
      <c r="V785" s="1759"/>
      <c r="W785" s="1760"/>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87"/>
      <c r="K786" s="1388"/>
      <c r="L786" s="1388"/>
      <c r="M786" s="1388"/>
      <c r="N786" s="1389"/>
      <c r="O786" s="1366"/>
      <c r="P786" s="1366"/>
      <c r="Q786" s="1366"/>
      <c r="R786" s="1366"/>
      <c r="S786" s="1366"/>
      <c r="T786" s="1761"/>
      <c r="U786" s="1762"/>
      <c r="V786" s="1762"/>
      <c r="W786" s="1763"/>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1" t="s">
        <v>478</v>
      </c>
      <c r="BO796" s="1682"/>
      <c r="BP796" s="3"/>
      <c r="BQ796" s="3"/>
      <c r="BR796" s="3"/>
      <c r="BS796" s="14" t="s">
        <v>643</v>
      </c>
      <c r="BT796" s="14"/>
      <c r="BU796" s="14"/>
      <c r="BV796" s="14"/>
      <c r="BW796" s="14"/>
      <c r="BX796" s="14"/>
      <c r="BY796" s="14"/>
      <c r="BZ796" s="14"/>
      <c r="CA796" s="14"/>
      <c r="CB796" s="1678" t="str">
        <f>T189</f>
        <v>Alameda</v>
      </c>
      <c r="CC796" s="1679"/>
      <c r="CD796" s="1679"/>
      <c r="CE796" s="1679"/>
      <c r="CF796" s="1679"/>
      <c r="CG796" s="1679"/>
      <c r="CH796" s="168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453" t="s">
        <v>125</v>
      </c>
      <c r="K797" s="1454"/>
      <c r="L797" s="1454"/>
      <c r="M797" s="1454"/>
      <c r="N797" s="1455"/>
      <c r="O797" s="1491">
        <f>SUM(O787:S796)</f>
        <v>0</v>
      </c>
      <c r="P797" s="1491"/>
      <c r="Q797" s="1491"/>
      <c r="R797" s="1491"/>
      <c r="S797" s="1491"/>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38">
        <f>O753+AC777+AC797</f>
        <v>84977</v>
      </c>
      <c r="Z800" s="1738"/>
      <c r="AA800" s="1738"/>
      <c r="AB800" s="1738"/>
      <c r="AC800" s="173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8">
        <f>(O753+AC777+AC797)*12</f>
        <v>1019724</v>
      </c>
      <c r="Z801" s="1738"/>
      <c r="AA801" s="1738"/>
      <c r="AB801" s="1738"/>
      <c r="AC801" s="173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32</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5">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4"/>
      <c r="AA808" s="1602"/>
      <c r="AB808" s="1602"/>
      <c r="AC808" s="1602"/>
      <c r="AD808" s="1602"/>
      <c r="AE808" s="160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4">
        <f>'Subsidy Contract Calculation'!J40</f>
        <v>514656</v>
      </c>
      <c r="AA809" s="1655"/>
      <c r="AB809" s="1655"/>
      <c r="AC809" s="1655"/>
      <c r="AD809" s="1655"/>
      <c r="AE809" s="165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8640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4"/>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4">
        <f>SUM(Z813:AE816)</f>
        <v>8640</v>
      </c>
      <c r="AA817" s="1655"/>
      <c r="AB817" s="1655"/>
      <c r="AC817" s="1655"/>
      <c r="AD817" s="1655"/>
      <c r="AE817" s="165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4">
        <f>Z817+Y801+Z809</f>
        <v>1543020</v>
      </c>
      <c r="AA818" s="1655"/>
      <c r="AB818" s="1655"/>
      <c r="AC818" s="1655"/>
      <c r="AD818" s="1655"/>
      <c r="AE818" s="165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622" t="s">
        <v>126</v>
      </c>
      <c r="N823" s="1622"/>
      <c r="O823" s="1622"/>
      <c r="P823" s="1665"/>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4" t="s">
        <v>336</v>
      </c>
      <c r="AH823" s="1754"/>
      <c r="AI823" s="1754"/>
      <c r="AJ823" s="175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626"/>
      <c r="N824" s="1626"/>
      <c r="O824" s="1626"/>
      <c r="P824" s="1637"/>
      <c r="Q824" s="1374"/>
      <c r="R824" s="1374"/>
      <c r="S824" s="1374"/>
      <c r="T824" s="1374"/>
      <c r="U824" s="1374"/>
      <c r="V824" s="1374"/>
      <c r="W824" s="1374"/>
      <c r="X824" s="1374"/>
      <c r="Y824" s="1374"/>
      <c r="Z824" s="1374"/>
      <c r="AA824" s="1374"/>
      <c r="AB824" s="1374"/>
      <c r="AC824" s="1374"/>
      <c r="AD824" s="1374"/>
      <c r="AE824" s="1374"/>
      <c r="AF824" s="1374"/>
      <c r="AG824" s="1754"/>
      <c r="AH824" s="1754"/>
      <c r="AI824" s="1754"/>
      <c r="AJ824" s="175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733" t="s">
        <v>40</v>
      </c>
      <c r="D825" s="1459"/>
      <c r="E825" s="1459"/>
      <c r="F825" s="1459"/>
      <c r="G825" s="1459"/>
      <c r="H825" s="1459"/>
      <c r="I825" s="48"/>
      <c r="J825" s="48"/>
      <c r="K825" s="48"/>
      <c r="L825" s="49"/>
      <c r="M825" s="1647"/>
      <c r="N825" s="1647"/>
      <c r="O825" s="1647"/>
      <c r="P825" s="1647"/>
      <c r="Q825" s="1647">
        <v>35</v>
      </c>
      <c r="R825" s="1647"/>
      <c r="S825" s="1647"/>
      <c r="T825" s="1647"/>
      <c r="U825" s="1647"/>
      <c r="V825" s="1647"/>
      <c r="W825" s="1647"/>
      <c r="X825" s="1647"/>
      <c r="Y825" s="1647"/>
      <c r="Z825" s="1647"/>
      <c r="AA825" s="1647"/>
      <c r="AB825" s="1647"/>
      <c r="AC825" s="1465"/>
      <c r="AD825" s="1466"/>
      <c r="AE825" s="1466"/>
      <c r="AF825" s="1467"/>
      <c r="AG825" s="1465"/>
      <c r="AH825" s="1466"/>
      <c r="AI825" s="1466"/>
      <c r="AJ825" s="146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653" t="s">
        <v>41</v>
      </c>
      <c r="D826" s="1649"/>
      <c r="E826" s="1649"/>
      <c r="F826" s="1649"/>
      <c r="G826" s="1649"/>
      <c r="H826" s="1649"/>
      <c r="I826" s="5"/>
      <c r="J826" s="5"/>
      <c r="K826" s="5"/>
      <c r="L826" s="46"/>
      <c r="M826" s="1647"/>
      <c r="N826" s="1647"/>
      <c r="O826" s="1647"/>
      <c r="P826" s="1647"/>
      <c r="Q826" s="1647">
        <v>35</v>
      </c>
      <c r="R826" s="1647"/>
      <c r="S826" s="1647"/>
      <c r="T826" s="1647"/>
      <c r="U826" s="1647"/>
      <c r="V826" s="1647"/>
      <c r="W826" s="1647"/>
      <c r="X826" s="1647"/>
      <c r="Y826" s="1647"/>
      <c r="Z826" s="1647"/>
      <c r="AA826" s="1647"/>
      <c r="AB826" s="1647"/>
      <c r="AC826" s="1465"/>
      <c r="AD826" s="1466"/>
      <c r="AE826" s="1466"/>
      <c r="AF826" s="1467"/>
      <c r="AG826" s="1465"/>
      <c r="AH826" s="1466"/>
      <c r="AI826" s="1466"/>
      <c r="AJ826" s="146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653" t="s">
        <v>42</v>
      </c>
      <c r="D827" s="1649"/>
      <c r="E827" s="1649"/>
      <c r="F827" s="1649"/>
      <c r="G827" s="1649"/>
      <c r="H827" s="1649"/>
      <c r="I827" s="60"/>
      <c r="J827" s="60"/>
      <c r="K827" s="60"/>
      <c r="L827" s="61"/>
      <c r="M827" s="1647"/>
      <c r="N827" s="1647"/>
      <c r="O827" s="1647"/>
      <c r="P827" s="1647"/>
      <c r="Q827" s="1647">
        <v>16</v>
      </c>
      <c r="R827" s="1647"/>
      <c r="S827" s="1647"/>
      <c r="T827" s="1647"/>
      <c r="U827" s="1647"/>
      <c r="V827" s="1647"/>
      <c r="W827" s="1647"/>
      <c r="X827" s="1647"/>
      <c r="Y827" s="1647"/>
      <c r="Z827" s="1647"/>
      <c r="AA827" s="1647"/>
      <c r="AB827" s="1647"/>
      <c r="AC827" s="1465"/>
      <c r="AD827" s="1466"/>
      <c r="AE827" s="1466"/>
      <c r="AF827" s="1467"/>
      <c r="AG827" s="1465"/>
      <c r="AH827" s="1466"/>
      <c r="AI827" s="1466"/>
      <c r="AJ827" s="146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653" t="s">
        <v>772</v>
      </c>
      <c r="D828" s="1649"/>
      <c r="E828" s="1649"/>
      <c r="F828" s="1649"/>
      <c r="G828" s="1649"/>
      <c r="H828" s="1649"/>
      <c r="I828" s="60"/>
      <c r="J828" s="60"/>
      <c r="K828" s="60"/>
      <c r="L828" s="61"/>
      <c r="M828" s="1647"/>
      <c r="N828" s="1647"/>
      <c r="O828" s="1647"/>
      <c r="P828" s="1647"/>
      <c r="Q828" s="1647"/>
      <c r="R828" s="1647"/>
      <c r="S828" s="1647"/>
      <c r="T828" s="1647"/>
      <c r="U828" s="1647"/>
      <c r="V828" s="1647"/>
      <c r="W828" s="1647"/>
      <c r="X828" s="1647"/>
      <c r="Y828" s="1647"/>
      <c r="Z828" s="1647"/>
      <c r="AA828" s="1647"/>
      <c r="AB828" s="1647"/>
      <c r="AC828" s="1465"/>
      <c r="AD828" s="1466"/>
      <c r="AE828" s="1466"/>
      <c r="AF828" s="1467"/>
      <c r="AG828" s="1465"/>
      <c r="AH828" s="1466"/>
      <c r="AI828" s="1466"/>
      <c r="AJ828" s="146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653" t="s">
        <v>468</v>
      </c>
      <c r="D829" s="1649"/>
      <c r="E829" s="1649"/>
      <c r="F829" s="1649"/>
      <c r="G829" s="1649"/>
      <c r="H829" s="1649"/>
      <c r="I829" s="60"/>
      <c r="J829" s="60"/>
      <c r="K829" s="60"/>
      <c r="L829" s="61"/>
      <c r="M829" s="1647"/>
      <c r="N829" s="1647"/>
      <c r="O829" s="1647"/>
      <c r="P829" s="1647"/>
      <c r="Q829" s="1647">
        <v>47</v>
      </c>
      <c r="R829" s="1647"/>
      <c r="S829" s="1647"/>
      <c r="T829" s="1647"/>
      <c r="U829" s="1647"/>
      <c r="V829" s="1647"/>
      <c r="W829" s="1647"/>
      <c r="X829" s="1647"/>
      <c r="Y829" s="1647"/>
      <c r="Z829" s="1647"/>
      <c r="AA829" s="1647"/>
      <c r="AB829" s="1647"/>
      <c r="AC829" s="1465"/>
      <c r="AD829" s="1466"/>
      <c r="AE829" s="1466"/>
      <c r="AF829" s="1467"/>
      <c r="AG829" s="1465"/>
      <c r="AH829" s="1466"/>
      <c r="AI829" s="1466"/>
      <c r="AJ829" s="146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648" t="s">
        <v>793</v>
      </c>
      <c r="D830" s="1649"/>
      <c r="E830" s="1649"/>
      <c r="F830" s="1649"/>
      <c r="G830" s="1649"/>
      <c r="H830" s="1649"/>
      <c r="I830" s="60"/>
      <c r="J830" s="60"/>
      <c r="K830" s="60"/>
      <c r="L830" s="61"/>
      <c r="M830" s="1647"/>
      <c r="N830" s="1647"/>
      <c r="O830" s="1647"/>
      <c r="P830" s="1647"/>
      <c r="Q830" s="1647"/>
      <c r="R830" s="1647"/>
      <c r="S830" s="1647"/>
      <c r="T830" s="1647"/>
      <c r="U830" s="1647"/>
      <c r="V830" s="1647"/>
      <c r="W830" s="1647"/>
      <c r="X830" s="1647"/>
      <c r="Y830" s="1647"/>
      <c r="Z830" s="1647"/>
      <c r="AA830" s="1647"/>
      <c r="AB830" s="1647"/>
      <c r="AC830" s="1465"/>
      <c r="AD830" s="1466"/>
      <c r="AE830" s="1466"/>
      <c r="AF830" s="1467"/>
      <c r="AG830" s="1465"/>
      <c r="AH830" s="1466"/>
      <c r="AI830" s="1466"/>
      <c r="AJ830" s="146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391" t="s">
        <v>335</v>
      </c>
      <c r="G831" s="1392"/>
      <c r="H831" s="1392"/>
      <c r="I831" s="1392"/>
      <c r="J831" s="1392"/>
      <c r="K831" s="1392"/>
      <c r="L831" s="1392"/>
      <c r="M831" s="1647"/>
      <c r="N831" s="1647"/>
      <c r="O831" s="1647"/>
      <c r="P831" s="1647"/>
      <c r="Q831" s="1647"/>
      <c r="R831" s="1647"/>
      <c r="S831" s="1647"/>
      <c r="T831" s="1647"/>
      <c r="U831" s="1647"/>
      <c r="V831" s="1647"/>
      <c r="W831" s="1647"/>
      <c r="X831" s="1647"/>
      <c r="Y831" s="1647"/>
      <c r="Z831" s="1647"/>
      <c r="AA831" s="1647"/>
      <c r="AB831" s="1647"/>
      <c r="AC831" s="1465"/>
      <c r="AD831" s="1466"/>
      <c r="AE831" s="1466"/>
      <c r="AF831" s="1467"/>
      <c r="AG831" s="1465"/>
      <c r="AH831" s="1466"/>
      <c r="AI831" s="1466"/>
      <c r="AJ831" s="146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453" t="s">
        <v>124</v>
      </c>
      <c r="D832" s="1454"/>
      <c r="E832" s="1454"/>
      <c r="F832" s="1454"/>
      <c r="G832" s="1454"/>
      <c r="H832" s="1454"/>
      <c r="I832" s="1454"/>
      <c r="J832" s="1454"/>
      <c r="K832" s="1454"/>
      <c r="L832" s="1455"/>
      <c r="M832" s="1664">
        <f>SUM(M825:P831)</f>
        <v>0</v>
      </c>
      <c r="N832" s="1664"/>
      <c r="O832" s="1664"/>
      <c r="P832" s="1664"/>
      <c r="Q832" s="1664">
        <f>SUM(Q825:T831)</f>
        <v>133</v>
      </c>
      <c r="R832" s="1664"/>
      <c r="S832" s="1664"/>
      <c r="T832" s="1664"/>
      <c r="U832" s="1664">
        <f>SUM(U825:X831)</f>
        <v>0</v>
      </c>
      <c r="V832" s="1664"/>
      <c r="W832" s="1664"/>
      <c r="X832" s="1664"/>
      <c r="Y832" s="1664">
        <f>SUM(Y825:AB831)</f>
        <v>0</v>
      </c>
      <c r="Z832" s="1664"/>
      <c r="AA832" s="1664"/>
      <c r="AB832" s="1664"/>
      <c r="AC832" s="1664">
        <f>SUM(AC825:AF831)</f>
        <v>0</v>
      </c>
      <c r="AD832" s="1664"/>
      <c r="AE832" s="1664"/>
      <c r="AF832" s="1664"/>
      <c r="AG832" s="1664">
        <f>SUM(AG825:AJ831)</f>
        <v>0</v>
      </c>
      <c r="AH832" s="1664"/>
      <c r="AI832" s="1664"/>
      <c r="AJ832" s="166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684" t="s">
        <v>2745</v>
      </c>
      <c r="D837" s="1685"/>
      <c r="E837" s="1685"/>
      <c r="F837" s="1685"/>
      <c r="G837" s="1685"/>
      <c r="H837" s="1685"/>
      <c r="I837" s="1685"/>
      <c r="J837" s="1685"/>
      <c r="K837" s="1685"/>
      <c r="L837" s="1685"/>
      <c r="M837" s="1685"/>
      <c r="N837" s="1685"/>
      <c r="O837" s="1685"/>
      <c r="P837" s="1685"/>
      <c r="Q837" s="1685"/>
      <c r="R837" s="1685"/>
      <c r="S837" s="1685"/>
      <c r="T837" s="1685"/>
      <c r="U837" s="1685"/>
      <c r="V837" s="1685"/>
      <c r="W837" s="1685"/>
      <c r="X837" s="1685"/>
      <c r="Y837" s="1685"/>
      <c r="Z837" s="1685"/>
      <c r="AA837" s="1685"/>
      <c r="AB837" s="1685"/>
      <c r="AC837" s="1685"/>
      <c r="AD837" s="1685"/>
      <c r="AE837" s="1685"/>
      <c r="AF837" s="1685"/>
      <c r="AG837" s="1685"/>
      <c r="AH837" s="1685"/>
      <c r="AI837" s="1685"/>
      <c r="AJ837" s="1686"/>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3">
        <f>ROUNDDOWN(BC939*2,2)</f>
        <v>0</v>
      </c>
      <c r="BJ841" s="1683"/>
      <c r="BK841" s="1683"/>
      <c r="BL841" s="168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559">
        <v>1200</v>
      </c>
      <c r="X842" s="1559"/>
      <c r="Y842" s="1559"/>
      <c r="Z842" s="1559"/>
      <c r="AA842" s="1559"/>
      <c r="AB842" s="1559"/>
      <c r="AC842" s="155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559">
        <v>3400</v>
      </c>
      <c r="X843" s="1559"/>
      <c r="Y843" s="1559"/>
      <c r="Z843" s="1559"/>
      <c r="AA843" s="1559"/>
      <c r="AB843" s="1559"/>
      <c r="AC843" s="155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559">
        <v>14000</v>
      </c>
      <c r="X844" s="1559"/>
      <c r="Y844" s="1559"/>
      <c r="Z844" s="1559"/>
      <c r="AA844" s="1559"/>
      <c r="AB844" s="1559"/>
      <c r="AC844" s="155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559">
        <v>3000</v>
      </c>
      <c r="X845" s="1559"/>
      <c r="Y845" s="1559"/>
      <c r="Z845" s="1559"/>
      <c r="AA845" s="1559"/>
      <c r="AB845" s="1559"/>
      <c r="AC845" s="155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391" t="s">
        <v>2746</v>
      </c>
      <c r="N846" s="1392"/>
      <c r="O846" s="1392"/>
      <c r="P846" s="1392"/>
      <c r="Q846" s="1392"/>
      <c r="R846" s="1392"/>
      <c r="S846" s="1392"/>
      <c r="T846" s="1392"/>
      <c r="U846" s="1392"/>
      <c r="V846" s="1393"/>
      <c r="W846" s="1559">
        <f>2100+3850</f>
        <v>5950</v>
      </c>
      <c r="X846" s="1559"/>
      <c r="Y846" s="1559"/>
      <c r="Z846" s="1559"/>
      <c r="AA846" s="1559"/>
      <c r="AB846" s="1559"/>
      <c r="AC846" s="155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654">
        <f>SUM(W842:AC846)</f>
        <v>27550</v>
      </c>
      <c r="X847" s="1655"/>
      <c r="Y847" s="1655"/>
      <c r="Z847" s="1655"/>
      <c r="AA847" s="1655"/>
      <c r="AB847" s="1655"/>
      <c r="AC847" s="165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75"/>
      <c r="BH848" s="1675"/>
      <c r="BI848" s="1675"/>
      <c r="BJ848" s="1675"/>
      <c r="BK848" s="1675"/>
      <c r="BL848" s="167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453" t="s">
        <v>346</v>
      </c>
      <c r="K849" s="1454"/>
      <c r="L849" s="1454"/>
      <c r="M849" s="1454"/>
      <c r="N849" s="1454"/>
      <c r="O849" s="1454"/>
      <c r="P849" s="1454"/>
      <c r="Q849" s="1454"/>
      <c r="R849" s="1454"/>
      <c r="S849" s="1454"/>
      <c r="T849" s="1454"/>
      <c r="U849" s="1454"/>
      <c r="V849" s="1455"/>
      <c r="W849" s="1514">
        <v>93132</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744"/>
      <c r="X851" s="1744"/>
      <c r="Y851" s="1744"/>
      <c r="Z851" s="1744"/>
      <c r="AA851" s="1744"/>
      <c r="AB851" s="1744"/>
      <c r="AC851" s="1744"/>
      <c r="AZ851" s="1748">
        <f>SUM(AZ818:AZ846)</f>
        <v>7.5000000000000011E-2</v>
      </c>
      <c r="BA851" s="174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744">
        <v>5000</v>
      </c>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744">
        <v>17500</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744">
        <v>28356</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737">
        <f>SUM(W851:AC854)</f>
        <v>50856</v>
      </c>
      <c r="X855" s="1737"/>
      <c r="Y855" s="1737"/>
      <c r="Z855" s="1737"/>
      <c r="AA855" s="1737"/>
      <c r="AB855" s="1737"/>
      <c r="AC855" s="173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58">
        <v>70000</v>
      </c>
      <c r="X857" s="1659"/>
      <c r="Y857" s="1659"/>
      <c r="Z857" s="1659"/>
      <c r="AA857" s="1659"/>
      <c r="AB857" s="1659"/>
      <c r="AC857" s="166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749">
        <v>1</v>
      </c>
      <c r="U858" s="1723"/>
      <c r="V858" s="175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58">
        <f>55000</f>
        <v>55000</v>
      </c>
      <c r="X859" s="1659"/>
      <c r="Y859" s="1659"/>
      <c r="Z859" s="1659"/>
      <c r="AA859" s="1659"/>
      <c r="AB859" s="1659"/>
      <c r="AC859" s="166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749">
        <v>1</v>
      </c>
      <c r="U860" s="1723"/>
      <c r="V860" s="175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391" t="s">
        <v>2755</v>
      </c>
      <c r="N861" s="1392"/>
      <c r="O861" s="1392"/>
      <c r="P861" s="1392"/>
      <c r="Q861" s="1392"/>
      <c r="R861" s="1392"/>
      <c r="S861" s="1392"/>
      <c r="T861" s="1392"/>
      <c r="U861" s="1392"/>
      <c r="V861" s="1393"/>
      <c r="W861" s="1658">
        <v>12650</v>
      </c>
      <c r="X861" s="1659"/>
      <c r="Y861" s="1659"/>
      <c r="Z861" s="1659"/>
      <c r="AA861" s="1659"/>
      <c r="AB861" s="1659"/>
      <c r="AC861" s="166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751">
        <f>SUM(W857:AC861)</f>
        <v>137650</v>
      </c>
      <c r="X862" s="1752"/>
      <c r="Y862" s="1752"/>
      <c r="Z862" s="1752"/>
      <c r="AA862" s="1752"/>
      <c r="AB862" s="1752"/>
      <c r="AC862" s="175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58">
        <v>185453</v>
      </c>
      <c r="X863" s="1659"/>
      <c r="Y863" s="1659"/>
      <c r="Z863" s="1659"/>
      <c r="AA863" s="1659"/>
      <c r="AB863" s="1659"/>
      <c r="AC863" s="166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559">
        <v>10800</v>
      </c>
      <c r="X865" s="1559"/>
      <c r="Y865" s="1559"/>
      <c r="Z865" s="1559"/>
      <c r="AA865" s="1559"/>
      <c r="AB865" s="1559"/>
      <c r="AC865" s="155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559">
        <v>10292</v>
      </c>
      <c r="X866" s="1559"/>
      <c r="Y866" s="1559"/>
      <c r="Z866" s="1559"/>
      <c r="AA866" s="1559"/>
      <c r="AB866" s="1559"/>
      <c r="AC866" s="155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559">
        <v>17500</v>
      </c>
      <c r="X867" s="1559"/>
      <c r="Y867" s="1559"/>
      <c r="Z867" s="1559"/>
      <c r="AA867" s="1559"/>
      <c r="AB867" s="1559"/>
      <c r="AC867" s="155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559">
        <v>4500</v>
      </c>
      <c r="X868" s="1559"/>
      <c r="Y868" s="1559"/>
      <c r="Z868" s="1559"/>
      <c r="AA868" s="1559"/>
      <c r="AB868" s="1559"/>
      <c r="AC868" s="155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559">
        <v>16500</v>
      </c>
      <c r="X869" s="1559"/>
      <c r="Y869" s="1559"/>
      <c r="Z869" s="1559"/>
      <c r="AA869" s="1559"/>
      <c r="AB869" s="1559"/>
      <c r="AC869" s="155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559">
        <v>13250</v>
      </c>
      <c r="X870" s="1559"/>
      <c r="Y870" s="1559"/>
      <c r="Z870" s="1559"/>
      <c r="AA870" s="1559"/>
      <c r="AB870" s="1559"/>
      <c r="AC870" s="155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391" t="s">
        <v>2747</v>
      </c>
      <c r="N871" s="1392"/>
      <c r="O871" s="1392"/>
      <c r="P871" s="1392"/>
      <c r="Q871" s="1392"/>
      <c r="R871" s="1392"/>
      <c r="S871" s="1392"/>
      <c r="T871" s="1392"/>
      <c r="U871" s="1392"/>
      <c r="V871" s="1393"/>
      <c r="W871" s="1559">
        <f>86261-60000-10000</f>
        <v>16261</v>
      </c>
      <c r="X871" s="1559"/>
      <c r="Y871" s="1559"/>
      <c r="Z871" s="1559"/>
      <c r="AA871" s="1559"/>
      <c r="AB871" s="1559"/>
      <c r="AC871" s="155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738">
        <f>SUM(W865:AC871)</f>
        <v>89103</v>
      </c>
      <c r="X872" s="1738"/>
      <c r="Y872" s="1738"/>
      <c r="Z872" s="1738"/>
      <c r="AA872" s="1738"/>
      <c r="AB872" s="1738"/>
      <c r="AC872" s="173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391" t="s">
        <v>2748</v>
      </c>
      <c r="N874" s="1392"/>
      <c r="O874" s="1392"/>
      <c r="P874" s="1392"/>
      <c r="Q874" s="1392"/>
      <c r="R874" s="1392"/>
      <c r="S874" s="1392"/>
      <c r="T874" s="1392"/>
      <c r="U874" s="1392"/>
      <c r="V874" s="1393"/>
      <c r="W874" s="1514">
        <v>9300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391" t="s">
        <v>2754</v>
      </c>
      <c r="N875" s="1392"/>
      <c r="O875" s="1392"/>
      <c r="P875" s="1392"/>
      <c r="Q875" s="1392"/>
      <c r="R875" s="1392"/>
      <c r="S875" s="1392"/>
      <c r="T875" s="1392"/>
      <c r="U875" s="1392"/>
      <c r="V875" s="1393"/>
      <c r="W875" s="1514">
        <f>103360-13139</f>
        <v>90221</v>
      </c>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391" t="s">
        <v>2752</v>
      </c>
      <c r="N876" s="1392"/>
      <c r="O876" s="1392"/>
      <c r="P876" s="1392"/>
      <c r="Q876" s="1392"/>
      <c r="R876" s="1392"/>
      <c r="S876" s="1392"/>
      <c r="T876" s="1392"/>
      <c r="U876" s="1392"/>
      <c r="V876" s="1393"/>
      <c r="W876" s="1514">
        <v>9946</v>
      </c>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391" t="s">
        <v>2753</v>
      </c>
      <c r="N877" s="1392"/>
      <c r="O877" s="1392"/>
      <c r="P877" s="1392"/>
      <c r="Q877" s="1392"/>
      <c r="R877" s="1392"/>
      <c r="S877" s="1392"/>
      <c r="T877" s="1392"/>
      <c r="U877" s="1392"/>
      <c r="V877" s="1393"/>
      <c r="W877" s="1514">
        <v>21789</v>
      </c>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391" t="s">
        <v>335</v>
      </c>
      <c r="N878" s="1392"/>
      <c r="O878" s="1392"/>
      <c r="P878" s="1392"/>
      <c r="Q878" s="1392"/>
      <c r="R878" s="1392"/>
      <c r="S878" s="1392"/>
      <c r="T878" s="1392"/>
      <c r="U878" s="1392"/>
      <c r="V878" s="1393"/>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654">
        <f>SUM(W874:AC878)</f>
        <v>131256</v>
      </c>
      <c r="X879" s="1655"/>
      <c r="Y879" s="1655"/>
      <c r="Z879" s="1655"/>
      <c r="AA879" s="1655"/>
      <c r="AB879" s="1655"/>
      <c r="AC879" s="165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5">
        <f>W847+W855+W862+W863+W872+W879+W849</f>
        <v>715000</v>
      </c>
      <c r="AD883" s="1655"/>
      <c r="AE883" s="1655"/>
      <c r="AF883" s="1655"/>
      <c r="AG883" s="1655"/>
      <c r="AH883" s="165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9">
        <f>O797+O777+G753</f>
        <v>80</v>
      </c>
      <c r="AD884" s="1739"/>
      <c r="AE884" s="1739"/>
      <c r="AF884" s="1739"/>
      <c r="AG884" s="1739"/>
      <c r="AH884" s="17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672" t="s">
        <v>32</v>
      </c>
      <c r="F885" s="1672"/>
      <c r="G885" s="1672"/>
      <c r="H885" s="1672"/>
      <c r="I885" s="1672"/>
      <c r="J885" s="1672"/>
      <c r="K885" s="1672"/>
      <c r="L885" s="1672"/>
      <c r="M885" s="1672"/>
      <c r="N885" s="1672"/>
      <c r="O885" s="1672"/>
      <c r="P885" s="1672"/>
      <c r="Q885" s="1672"/>
      <c r="R885" s="1672"/>
      <c r="S885" s="1672"/>
      <c r="T885" s="1672"/>
      <c r="U885" s="1672"/>
      <c r="V885" s="1672"/>
      <c r="W885" s="1672"/>
      <c r="X885" s="1672"/>
      <c r="Y885" s="1672"/>
      <c r="Z885" s="1672"/>
      <c r="AA885" s="1672"/>
      <c r="AB885" s="1673"/>
      <c r="AC885" s="1738">
        <f>IF(ISERROR((ROUNDDOWN(AC883/AC884,0))),0,(ROUNDDOWN(AC883/AC884,0)))</f>
        <v>8937</v>
      </c>
      <c r="AD885" s="1738"/>
      <c r="AE885" s="1738"/>
      <c r="AF885" s="1738"/>
      <c r="AG885" s="1738"/>
      <c r="AH885" s="173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5"/>
      <c r="AD886" s="1746"/>
      <c r="AE886" s="1746"/>
      <c r="AF886" s="1746"/>
      <c r="AG886" s="1746"/>
      <c r="AH886" s="174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6"/>
      <c r="AD887" s="1559"/>
      <c r="AE887" s="1559"/>
      <c r="AF887" s="1559"/>
      <c r="AG887" s="1559"/>
      <c r="AH887" s="155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5">
        <v>121329</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40000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5">
        <v>4000</v>
      </c>
      <c r="AD890" s="1466"/>
      <c r="AE890" s="1466"/>
      <c r="AF890" s="1466"/>
      <c r="AG890" s="1466"/>
      <c r="AH890" s="146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5"/>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61" t="s">
        <v>976</v>
      </c>
      <c r="D893" s="1662"/>
      <c r="E893" s="1662"/>
      <c r="F893" s="1662"/>
      <c r="G893" s="1662"/>
      <c r="H893" s="1662"/>
      <c r="I893" s="1662"/>
      <c r="J893" s="1662"/>
      <c r="K893" s="1662"/>
      <c r="L893" s="1662"/>
      <c r="M893" s="1662"/>
      <c r="N893" s="1662"/>
      <c r="O893" s="1662"/>
      <c r="P893" s="1662"/>
      <c r="Q893" s="1662"/>
      <c r="R893" s="1662"/>
      <c r="S893" s="1662"/>
      <c r="T893" s="1662"/>
      <c r="U893" s="1662"/>
      <c r="V893" s="1662"/>
      <c r="W893" s="1662"/>
      <c r="X893" s="1662"/>
      <c r="Y893" s="1662"/>
      <c r="Z893" s="1662"/>
      <c r="AA893" s="1662"/>
      <c r="AB893" s="1663"/>
      <c r="AC893" s="1559"/>
      <c r="AD893" s="1559"/>
      <c r="AE893" s="1559"/>
      <c r="AF893" s="1559"/>
      <c r="AG893" s="1559"/>
      <c r="AH893" s="155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61" t="s">
        <v>976</v>
      </c>
      <c r="D894" s="1662"/>
      <c r="E894" s="1662"/>
      <c r="F894" s="1662"/>
      <c r="G894" s="1662"/>
      <c r="H894" s="1662"/>
      <c r="I894" s="1662"/>
      <c r="J894" s="1662"/>
      <c r="K894" s="1662"/>
      <c r="L894" s="1662"/>
      <c r="M894" s="1662"/>
      <c r="N894" s="1662"/>
      <c r="O894" s="1662"/>
      <c r="P894" s="1662"/>
      <c r="Q894" s="1662"/>
      <c r="R894" s="1662"/>
      <c r="S894" s="1662"/>
      <c r="T894" s="1662"/>
      <c r="U894" s="1662"/>
      <c r="V894" s="1662"/>
      <c r="W894" s="1662"/>
      <c r="X894" s="1662"/>
      <c r="Y894" s="1662"/>
      <c r="Z894" s="1662"/>
      <c r="AA894" s="1662"/>
      <c r="AB894" s="1663"/>
      <c r="AC894" s="1559"/>
      <c r="AD894" s="1559"/>
      <c r="AE894" s="1559"/>
      <c r="AF894" s="1559"/>
      <c r="AG894" s="1559"/>
      <c r="AH894" s="155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76"/>
      <c r="BE898" s="167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76"/>
      <c r="BE899" s="167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75"/>
      <c r="BE900" s="167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654">
        <f>Z898-(Z899+Z900)</f>
        <v>0</v>
      </c>
      <c r="AA901" s="1655"/>
      <c r="AB901" s="1655"/>
      <c r="AC901" s="1655"/>
      <c r="AD901" s="1655"/>
      <c r="AE901" s="1656"/>
      <c r="AZ901" s="34"/>
      <c r="BB901" s="30"/>
      <c r="BC901" s="850"/>
      <c r="BD901" s="1675"/>
      <c r="BE901" s="167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5"/>
      <c r="BE902" s="167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6"/>
      <c r="BE903" s="167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7"/>
      <c r="BE904" s="1747"/>
      <c r="BF904" s="17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3"/>
      <c r="BE905" s="1683"/>
      <c r="BF905" s="168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5"/>
      <c r="BE906" s="167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6"/>
      <c r="BE907" s="167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76"/>
      <c r="BE909" s="167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553" t="s">
        <v>802</v>
      </c>
      <c r="G914" s="1554"/>
      <c r="H914" s="1554"/>
      <c r="I914" s="1554"/>
      <c r="J914" s="1554"/>
      <c r="K914" s="1554"/>
      <c r="L914" s="1554"/>
      <c r="M914" s="1554"/>
      <c r="N914" s="1554"/>
      <c r="O914" s="1554"/>
      <c r="P914" s="1554"/>
      <c r="Q914" s="1554"/>
      <c r="R914" s="1554"/>
      <c r="S914" s="1554"/>
      <c r="T914" s="1555"/>
      <c r="U914" s="1621" t="s">
        <v>31</v>
      </c>
      <c r="V914" s="1622"/>
      <c r="W914" s="1622"/>
      <c r="X914" s="1622"/>
      <c r="Y914" s="1622"/>
      <c r="Z914" s="162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623" t="s">
        <v>828</v>
      </c>
      <c r="G915" s="1624"/>
      <c r="H915" s="1624"/>
      <c r="I915" s="1624"/>
      <c r="J915" s="1624"/>
      <c r="K915" s="1624"/>
      <c r="L915" s="1624"/>
      <c r="M915" s="1624"/>
      <c r="N915" s="1624"/>
      <c r="O915" s="1624"/>
      <c r="P915" s="1624"/>
      <c r="Q915" s="1624"/>
      <c r="R915" s="1624"/>
      <c r="S915" s="1624"/>
      <c r="T915" s="1636"/>
      <c r="U915" s="1623"/>
      <c r="V915" s="1624"/>
      <c r="W915" s="1624"/>
      <c r="X915" s="1624"/>
      <c r="Y915" s="1624"/>
      <c r="Z915" s="162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625"/>
      <c r="G916" s="1626"/>
      <c r="H916" s="1626"/>
      <c r="I916" s="1626"/>
      <c r="J916" s="1626"/>
      <c r="K916" s="1626"/>
      <c r="L916" s="1626"/>
      <c r="M916" s="1626"/>
      <c r="N916" s="1626"/>
      <c r="O916" s="1626"/>
      <c r="P916" s="1626"/>
      <c r="Q916" s="1626"/>
      <c r="R916" s="1626"/>
      <c r="S916" s="1626"/>
      <c r="T916" s="1637"/>
      <c r="U916" s="1625"/>
      <c r="V916" s="1626"/>
      <c r="W916" s="1626"/>
      <c r="X916" s="1626"/>
      <c r="Y916" s="1626"/>
      <c r="Z916" s="1626"/>
      <c r="AA916" s="108"/>
      <c r="AB916" s="1677" t="s">
        <v>392</v>
      </c>
      <c r="AC916" s="1677"/>
      <c r="AD916" s="1677"/>
      <c r="AE916" s="16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7" t="s">
        <v>554</v>
      </c>
      <c r="V917" s="1628"/>
      <c r="W917" s="1628"/>
      <c r="X917" s="1628"/>
      <c r="Y917" s="1628"/>
      <c r="Z917" s="1629"/>
      <c r="AA917" s="1560">
        <f>AM554</f>
        <v>39194154.526084818</v>
      </c>
      <c r="AB917" s="1561"/>
      <c r="AC917" s="1561"/>
      <c r="AD917" s="1561"/>
      <c r="AE917" s="1561"/>
      <c r="AF917" s="156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7" t="s">
        <v>554</v>
      </c>
      <c r="V918" s="1628"/>
      <c r="W918" s="1628"/>
      <c r="X918" s="1628"/>
      <c r="Y918" s="1628"/>
      <c r="Z918" s="1629"/>
      <c r="AA918" s="1560">
        <f>AM555</f>
        <v>8941434.2901965901</v>
      </c>
      <c r="AB918" s="1561"/>
      <c r="AC918" s="1561"/>
      <c r="AD918" s="1561"/>
      <c r="AE918" s="1561"/>
      <c r="AF918" s="156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7" t="s">
        <v>600</v>
      </c>
      <c r="V919" s="1628"/>
      <c r="W919" s="1628"/>
      <c r="X919" s="1628"/>
      <c r="Y919" s="1628"/>
      <c r="Z919" s="1629"/>
      <c r="AA919" s="1560"/>
      <c r="AB919" s="1561"/>
      <c r="AC919" s="1561"/>
      <c r="AD919" s="1561"/>
      <c r="AE919" s="1561"/>
      <c r="AF919" s="156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7" t="s">
        <v>600</v>
      </c>
      <c r="V920" s="1628"/>
      <c r="W920" s="1628"/>
      <c r="X920" s="1628"/>
      <c r="Y920" s="1628"/>
      <c r="Z920" s="1629"/>
      <c r="AA920" s="1560"/>
      <c r="AB920" s="1561"/>
      <c r="AC920" s="1561"/>
      <c r="AD920" s="1561"/>
      <c r="AE920" s="1561"/>
      <c r="AF920" s="156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7" t="s">
        <v>600</v>
      </c>
      <c r="V921" s="1628"/>
      <c r="W921" s="1628"/>
      <c r="X921" s="1628"/>
      <c r="Y921" s="1628"/>
      <c r="Z921" s="1629"/>
      <c r="AA921" s="1560"/>
      <c r="AB921" s="1561"/>
      <c r="AC921" s="1561"/>
      <c r="AD921" s="1561"/>
      <c r="AE921" s="1561"/>
      <c r="AF921" s="156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7" t="s">
        <v>600</v>
      </c>
      <c r="V922" s="1628"/>
      <c r="W922" s="1628"/>
      <c r="X922" s="1628"/>
      <c r="Y922" s="1628"/>
      <c r="Z922" s="1629"/>
      <c r="AA922" s="1560"/>
      <c r="AB922" s="1561"/>
      <c r="AC922" s="1561"/>
      <c r="AD922" s="1561"/>
      <c r="AE922" s="1561"/>
      <c r="AF922" s="156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7" t="s">
        <v>600</v>
      </c>
      <c r="V923" s="1628"/>
      <c r="W923" s="1628"/>
      <c r="X923" s="1628"/>
      <c r="Y923" s="1628"/>
      <c r="Z923" s="1629"/>
      <c r="AA923" s="1560"/>
      <c r="AB923" s="1561"/>
      <c r="AC923" s="1561"/>
      <c r="AD923" s="1561"/>
      <c r="AE923" s="1561"/>
      <c r="AF923" s="156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7" t="s">
        <v>600</v>
      </c>
      <c r="V924" s="1628"/>
      <c r="W924" s="1628"/>
      <c r="X924" s="1628"/>
      <c r="Y924" s="1628"/>
      <c r="Z924" s="1629"/>
      <c r="AA924" s="1560"/>
      <c r="AB924" s="1561"/>
      <c r="AC924" s="1561"/>
      <c r="AD924" s="1561"/>
      <c r="AE924" s="1561"/>
      <c r="AF924" s="156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38" t="s">
        <v>2554</v>
      </c>
      <c r="G925" s="1639"/>
      <c r="H925" s="1639"/>
      <c r="I925" s="1639"/>
      <c r="J925" s="1639"/>
      <c r="K925" s="1639"/>
      <c r="L925" s="1639"/>
      <c r="M925" s="1639"/>
      <c r="N925" s="1639"/>
      <c r="O925" s="1639"/>
      <c r="P925" s="1639"/>
      <c r="Q925" s="1639"/>
      <c r="R925" s="1639"/>
      <c r="S925" s="1639"/>
      <c r="T925" s="1640"/>
      <c r="U925" s="1627" t="s">
        <v>600</v>
      </c>
      <c r="V925" s="1628"/>
      <c r="W925" s="1628"/>
      <c r="X925" s="1628"/>
      <c r="Y925" s="1628"/>
      <c r="Z925" s="1629"/>
      <c r="AA925" s="1560"/>
      <c r="AB925" s="1561"/>
      <c r="AC925" s="1561"/>
      <c r="AD925" s="1561"/>
      <c r="AE925" s="1561"/>
      <c r="AF925" s="156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38" t="s">
        <v>688</v>
      </c>
      <c r="G926" s="1639"/>
      <c r="H926" s="1639"/>
      <c r="I926" s="1639"/>
      <c r="J926" s="1639"/>
      <c r="K926" s="1639"/>
      <c r="L926" s="1639"/>
      <c r="M926" s="1639"/>
      <c r="N926" s="1639"/>
      <c r="O926" s="1639"/>
      <c r="P926" s="1639"/>
      <c r="Q926" s="1639"/>
      <c r="R926" s="1639"/>
      <c r="S926" s="1639"/>
      <c r="T926" s="1640"/>
      <c r="U926" s="1627" t="s">
        <v>600</v>
      </c>
      <c r="V926" s="1628"/>
      <c r="W926" s="1628"/>
      <c r="X926" s="1628"/>
      <c r="Y926" s="1628"/>
      <c r="Z926" s="1629"/>
      <c r="AA926" s="1560"/>
      <c r="AB926" s="1561"/>
      <c r="AC926" s="1561"/>
      <c r="AD926" s="1561"/>
      <c r="AE926" s="1561"/>
      <c r="AF926" s="156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38" t="s">
        <v>2555</v>
      </c>
      <c r="G927" s="1639"/>
      <c r="H927" s="1639"/>
      <c r="I927" s="1639"/>
      <c r="J927" s="1639"/>
      <c r="K927" s="1639"/>
      <c r="L927" s="1639"/>
      <c r="M927" s="1639"/>
      <c r="N927" s="1639"/>
      <c r="O927" s="1639"/>
      <c r="P927" s="1639"/>
      <c r="Q927" s="1639"/>
      <c r="R927" s="1639"/>
      <c r="S927" s="1639"/>
      <c r="T927" s="1640"/>
      <c r="U927" s="1627" t="s">
        <v>600</v>
      </c>
      <c r="V927" s="1628"/>
      <c r="W927" s="1628"/>
      <c r="X927" s="1628"/>
      <c r="Y927" s="1628"/>
      <c r="Z927" s="1629"/>
      <c r="AA927" s="1560"/>
      <c r="AB927" s="1561"/>
      <c r="AC927" s="1561"/>
      <c r="AD927" s="1561"/>
      <c r="AE927" s="1561"/>
      <c r="AF927" s="156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38" t="s">
        <v>2556</v>
      </c>
      <c r="G928" s="1639"/>
      <c r="H928" s="1639"/>
      <c r="I928" s="1639"/>
      <c r="J928" s="1639"/>
      <c r="K928" s="1639"/>
      <c r="L928" s="1639"/>
      <c r="M928" s="1639"/>
      <c r="N928" s="1639"/>
      <c r="O928" s="1639"/>
      <c r="P928" s="1639"/>
      <c r="Q928" s="1639"/>
      <c r="R928" s="1639"/>
      <c r="S928" s="1639"/>
      <c r="T928" s="1640"/>
      <c r="U928" s="1627" t="s">
        <v>600</v>
      </c>
      <c r="V928" s="1628"/>
      <c r="W928" s="1628"/>
      <c r="X928" s="1628"/>
      <c r="Y928" s="1628"/>
      <c r="Z928" s="1629"/>
      <c r="AA928" s="1560"/>
      <c r="AB928" s="1561"/>
      <c r="AC928" s="1561"/>
      <c r="AD928" s="1561"/>
      <c r="AE928" s="1561"/>
      <c r="AF928" s="156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38" t="s">
        <v>2557</v>
      </c>
      <c r="G929" s="1639"/>
      <c r="H929" s="1639"/>
      <c r="I929" s="1639"/>
      <c r="J929" s="1639"/>
      <c r="K929" s="1639"/>
      <c r="L929" s="1639"/>
      <c r="M929" s="1639"/>
      <c r="N929" s="1639"/>
      <c r="O929" s="1639"/>
      <c r="P929" s="1639"/>
      <c r="Q929" s="1639"/>
      <c r="R929" s="1639"/>
      <c r="S929" s="1639"/>
      <c r="T929" s="1640"/>
      <c r="U929" s="1627" t="s">
        <v>600</v>
      </c>
      <c r="V929" s="1628"/>
      <c r="W929" s="1628"/>
      <c r="X929" s="1628"/>
      <c r="Y929" s="1628"/>
      <c r="Z929" s="1629"/>
      <c r="AA929" s="1560"/>
      <c r="AB929" s="1561"/>
      <c r="AC929" s="1561"/>
      <c r="AD929" s="1561"/>
      <c r="AE929" s="1561"/>
      <c r="AF929" s="156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38" t="s">
        <v>2558</v>
      </c>
      <c r="G930" s="1639"/>
      <c r="H930" s="1639"/>
      <c r="I930" s="1639"/>
      <c r="J930" s="1639"/>
      <c r="K930" s="1639"/>
      <c r="L930" s="1639"/>
      <c r="M930" s="1639"/>
      <c r="N930" s="1639"/>
      <c r="O930" s="1639"/>
      <c r="P930" s="1639"/>
      <c r="Q930" s="1639"/>
      <c r="R930" s="1639"/>
      <c r="S930" s="1639"/>
      <c r="T930" s="1640"/>
      <c r="U930" s="1627" t="s">
        <v>600</v>
      </c>
      <c r="V930" s="1628"/>
      <c r="W930" s="1628"/>
      <c r="X930" s="1628"/>
      <c r="Y930" s="1628"/>
      <c r="Z930" s="1629"/>
      <c r="AA930" s="1560"/>
      <c r="AB930" s="1561"/>
      <c r="AC930" s="1561"/>
      <c r="AD930" s="1561"/>
      <c r="AE930" s="1561"/>
      <c r="AF930" s="156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38" t="s">
        <v>2559</v>
      </c>
      <c r="G931" s="1639"/>
      <c r="H931" s="1639"/>
      <c r="I931" s="1639"/>
      <c r="J931" s="1639"/>
      <c r="K931" s="1639"/>
      <c r="L931" s="1639"/>
      <c r="M931" s="1639"/>
      <c r="N931" s="1639"/>
      <c r="O931" s="1639"/>
      <c r="P931" s="1639"/>
      <c r="Q931" s="1639"/>
      <c r="R931" s="1639"/>
      <c r="S931" s="1639"/>
      <c r="T931" s="1640"/>
      <c r="U931" s="1627" t="s">
        <v>600</v>
      </c>
      <c r="V931" s="1628"/>
      <c r="W931" s="1628"/>
      <c r="X931" s="1628"/>
      <c r="Y931" s="1628"/>
      <c r="Z931" s="1629"/>
      <c r="AA931" s="1560"/>
      <c r="AB931" s="1561"/>
      <c r="AC931" s="1561"/>
      <c r="AD931" s="1561"/>
      <c r="AE931" s="1561"/>
      <c r="AF931" s="156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7" t="s">
        <v>600</v>
      </c>
      <c r="V932" s="1628"/>
      <c r="W932" s="1628"/>
      <c r="X932" s="1628"/>
      <c r="Y932" s="1628"/>
      <c r="Z932" s="1629"/>
      <c r="AA932" s="1560"/>
      <c r="AB932" s="1561"/>
      <c r="AC932" s="1561"/>
      <c r="AD932" s="1561"/>
      <c r="AE932" s="1561"/>
      <c r="AF932" s="156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7" t="s">
        <v>600</v>
      </c>
      <c r="V933" s="1628"/>
      <c r="W933" s="1628"/>
      <c r="X933" s="1628"/>
      <c r="Y933" s="1628"/>
      <c r="Z933" s="1629"/>
      <c r="AA933" s="1560"/>
      <c r="AB933" s="1561"/>
      <c r="AC933" s="1561"/>
      <c r="AD933" s="1561"/>
      <c r="AE933" s="1561"/>
      <c r="AF933" s="156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7" t="s">
        <v>600</v>
      </c>
      <c r="V934" s="1628"/>
      <c r="W934" s="1628"/>
      <c r="X934" s="1628"/>
      <c r="Y934" s="1628"/>
      <c r="Z934" s="1629"/>
      <c r="AA934" s="1560"/>
      <c r="AB934" s="1561"/>
      <c r="AC934" s="1561"/>
      <c r="AD934" s="1561"/>
      <c r="AE934" s="1561"/>
      <c r="AF934" s="156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741" t="s">
        <v>2563</v>
      </c>
      <c r="G935" s="1742"/>
      <c r="H935" s="1742"/>
      <c r="I935" s="1742"/>
      <c r="J935" s="1742"/>
      <c r="K935" s="1742"/>
      <c r="L935" s="1742"/>
      <c r="M935" s="1742"/>
      <c r="N935" s="1742"/>
      <c r="O935" s="1742"/>
      <c r="P935" s="1742"/>
      <c r="Q935" s="1742"/>
      <c r="R935" s="1742"/>
      <c r="S935" s="1742"/>
      <c r="T935" s="1743"/>
      <c r="U935" s="1627" t="s">
        <v>600</v>
      </c>
      <c r="V935" s="1628"/>
      <c r="W935" s="1628"/>
      <c r="X935" s="1628"/>
      <c r="Y935" s="1628"/>
      <c r="Z935" s="1629"/>
      <c r="AA935" s="1560"/>
      <c r="AB935" s="1561"/>
      <c r="AC935" s="1561"/>
      <c r="AD935" s="1561"/>
      <c r="AE935" s="1561"/>
      <c r="AF935" s="156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741" t="s">
        <v>2564</v>
      </c>
      <c r="G936" s="1742"/>
      <c r="H936" s="1742"/>
      <c r="I936" s="1742"/>
      <c r="J936" s="1742"/>
      <c r="K936" s="1742"/>
      <c r="L936" s="1742"/>
      <c r="M936" s="1742"/>
      <c r="N936" s="1742"/>
      <c r="O936" s="1742"/>
      <c r="P936" s="1742"/>
      <c r="Q936" s="1742"/>
      <c r="R936" s="1742"/>
      <c r="S936" s="1742"/>
      <c r="T936" s="1743"/>
      <c r="U936" s="1627" t="s">
        <v>600</v>
      </c>
      <c r="V936" s="1628"/>
      <c r="W936" s="1628"/>
      <c r="X936" s="1628"/>
      <c r="Y936" s="1628"/>
      <c r="Z936" s="1629"/>
      <c r="AA936" s="1560"/>
      <c r="AB936" s="1561"/>
      <c r="AC936" s="1561"/>
      <c r="AD936" s="1561"/>
      <c r="AE936" s="1561"/>
      <c r="AF936" s="156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38" t="s">
        <v>2560</v>
      </c>
      <c r="G937" s="1639"/>
      <c r="H937" s="1639"/>
      <c r="I937" s="1639"/>
      <c r="J937" s="1639"/>
      <c r="K937" s="1639"/>
      <c r="L937" s="1639"/>
      <c r="M937" s="1639"/>
      <c r="N937" s="1639"/>
      <c r="O937" s="1639"/>
      <c r="P937" s="1639"/>
      <c r="Q937" s="1639"/>
      <c r="R937" s="1639"/>
      <c r="S937" s="1639"/>
      <c r="T937" s="1640"/>
      <c r="U937" s="1627" t="s">
        <v>554</v>
      </c>
      <c r="V937" s="1628"/>
      <c r="W937" s="1628"/>
      <c r="X937" s="1628"/>
      <c r="Y937" s="1628"/>
      <c r="Z937" s="1629"/>
      <c r="AA937" s="1560">
        <f>AO629</f>
        <v>18718944.416281417</v>
      </c>
      <c r="AB937" s="1561"/>
      <c r="AC937" s="1561"/>
      <c r="AD937" s="1561"/>
      <c r="AE937" s="1561"/>
      <c r="AF937" s="156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38" t="s">
        <v>2561</v>
      </c>
      <c r="G938" s="1639"/>
      <c r="H938" s="1639"/>
      <c r="I938" s="1639"/>
      <c r="J938" s="1639"/>
      <c r="K938" s="1639"/>
      <c r="L938" s="1639"/>
      <c r="M938" s="1639"/>
      <c r="N938" s="1639"/>
      <c r="O938" s="1639"/>
      <c r="P938" s="1639"/>
      <c r="Q938" s="1639"/>
      <c r="R938" s="1639"/>
      <c r="S938" s="1639"/>
      <c r="T938" s="1640"/>
      <c r="U938" s="1627" t="s">
        <v>600</v>
      </c>
      <c r="V938" s="1628"/>
      <c r="W938" s="1628"/>
      <c r="X938" s="1628"/>
      <c r="Y938" s="1628"/>
      <c r="Z938" s="1629"/>
      <c r="AA938" s="1560"/>
      <c r="AB938" s="1561"/>
      <c r="AC938" s="1561"/>
      <c r="AD938" s="1561"/>
      <c r="AE938" s="1561"/>
      <c r="AF938" s="156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38" t="s">
        <v>2562</v>
      </c>
      <c r="G939" s="1639"/>
      <c r="H939" s="1639"/>
      <c r="I939" s="1639"/>
      <c r="J939" s="1639"/>
      <c r="K939" s="1639"/>
      <c r="L939" s="1639"/>
      <c r="M939" s="1639"/>
      <c r="N939" s="1639"/>
      <c r="O939" s="1639"/>
      <c r="P939" s="1639"/>
      <c r="Q939" s="1639"/>
      <c r="R939" s="1639"/>
      <c r="S939" s="1639"/>
      <c r="T939" s="1640"/>
      <c r="U939" s="1627" t="s">
        <v>600</v>
      </c>
      <c r="V939" s="1628"/>
      <c r="W939" s="1628"/>
      <c r="X939" s="1628"/>
      <c r="Y939" s="1628"/>
      <c r="Z939" s="1629"/>
      <c r="AA939" s="1560"/>
      <c r="AB939" s="1561"/>
      <c r="AC939" s="1561"/>
      <c r="AD939" s="1561"/>
      <c r="AE939" s="1561"/>
      <c r="AF939" s="156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7" t="s">
        <v>600</v>
      </c>
      <c r="V940" s="1628"/>
      <c r="W940" s="1628"/>
      <c r="X940" s="1628"/>
      <c r="Y940" s="1628"/>
      <c r="Z940" s="1629"/>
      <c r="AA940" s="1560"/>
      <c r="AB940" s="1561"/>
      <c r="AC940" s="1561"/>
      <c r="AD940" s="1561"/>
      <c r="AE940" s="1561"/>
      <c r="AF940" s="156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741" t="s">
        <v>2565</v>
      </c>
      <c r="G941" s="1742"/>
      <c r="H941" s="1742"/>
      <c r="I941" s="1742"/>
      <c r="J941" s="1742"/>
      <c r="K941" s="1742"/>
      <c r="L941" s="1742"/>
      <c r="M941" s="1742"/>
      <c r="N941" s="1742"/>
      <c r="O941" s="1742"/>
      <c r="P941" s="1742"/>
      <c r="Q941" s="1742"/>
      <c r="R941" s="1742"/>
      <c r="S941" s="1742"/>
      <c r="T941" s="1743"/>
      <c r="U941" s="1627" t="s">
        <v>600</v>
      </c>
      <c r="V941" s="1628"/>
      <c r="W941" s="1628"/>
      <c r="X941" s="1628"/>
      <c r="Y941" s="1628"/>
      <c r="Z941" s="1629"/>
      <c r="AA941" s="1560"/>
      <c r="AB941" s="1561"/>
      <c r="AC941" s="1561"/>
      <c r="AD941" s="1561"/>
      <c r="AE941" s="1561"/>
      <c r="AF941" s="156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7" t="s">
        <v>600</v>
      </c>
      <c r="V942" s="1628"/>
      <c r="W942" s="1628"/>
      <c r="X942" s="1628"/>
      <c r="Y942" s="1628"/>
      <c r="Z942" s="1629"/>
      <c r="AA942" s="1560"/>
      <c r="AB942" s="1561"/>
      <c r="AC942" s="1561"/>
      <c r="AD942" s="1561"/>
      <c r="AE942" s="1561"/>
      <c r="AF942" s="156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741" t="s">
        <v>2566</v>
      </c>
      <c r="G943" s="1742"/>
      <c r="H943" s="1742"/>
      <c r="I943" s="1742"/>
      <c r="J943" s="1742"/>
      <c r="K943" s="1742"/>
      <c r="L943" s="1742"/>
      <c r="M943" s="1742"/>
      <c r="N943" s="1742"/>
      <c r="O943" s="1742"/>
      <c r="P943" s="1742"/>
      <c r="Q943" s="1742"/>
      <c r="R943" s="1742"/>
      <c r="S943" s="1742"/>
      <c r="T943" s="1743"/>
      <c r="U943" s="1627" t="s">
        <v>600</v>
      </c>
      <c r="V943" s="1628"/>
      <c r="W943" s="1628"/>
      <c r="X943" s="1628"/>
      <c r="Y943" s="1628"/>
      <c r="Z943" s="1629"/>
      <c r="AA943" s="1560"/>
      <c r="AB943" s="1561"/>
      <c r="AC943" s="1561"/>
      <c r="AD943" s="1561"/>
      <c r="AE943" s="1561"/>
      <c r="AF943" s="156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7" t="s">
        <v>678</v>
      </c>
      <c r="Q944" s="1628"/>
      <c r="R944" s="1628"/>
      <c r="S944" s="1628"/>
      <c r="T944" s="1629"/>
      <c r="U944" s="1627" t="s">
        <v>600</v>
      </c>
      <c r="V944" s="1628"/>
      <c r="W944" s="1628"/>
      <c r="X944" s="1628"/>
      <c r="Y944" s="1628"/>
      <c r="Z944" s="1629"/>
      <c r="AA944" s="1560"/>
      <c r="AB944" s="1561"/>
      <c r="AC944" s="1561"/>
      <c r="AD944" s="1561"/>
      <c r="AE944" s="1561"/>
      <c r="AF944" s="156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38" t="s">
        <v>2553</v>
      </c>
      <c r="G945" s="1639"/>
      <c r="H945" s="1640"/>
      <c r="I945" s="1391" t="s">
        <v>335</v>
      </c>
      <c r="J945" s="1392"/>
      <c r="K945" s="1392"/>
      <c r="L945" s="1392"/>
      <c r="M945" s="1392"/>
      <c r="N945" s="1392"/>
      <c r="O945" s="1392"/>
      <c r="P945" s="1392"/>
      <c r="Q945" s="1392"/>
      <c r="R945" s="1392"/>
      <c r="S945" s="1392"/>
      <c r="T945" s="1393"/>
      <c r="U945" s="1627" t="s">
        <v>600</v>
      </c>
      <c r="V945" s="1628"/>
      <c r="W945" s="1628"/>
      <c r="X945" s="1628"/>
      <c r="Y945" s="1628"/>
      <c r="Z945" s="1629"/>
      <c r="AA945" s="1560"/>
      <c r="AB945" s="1561"/>
      <c r="AC945" s="1561"/>
      <c r="AD945" s="1561"/>
      <c r="AE945" s="1561"/>
      <c r="AF945" s="156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391" t="s">
        <v>335</v>
      </c>
      <c r="J946" s="1392"/>
      <c r="K946" s="1392"/>
      <c r="L946" s="1392"/>
      <c r="M946" s="1392"/>
      <c r="N946" s="1392"/>
      <c r="O946" s="1392"/>
      <c r="P946" s="1392"/>
      <c r="Q946" s="1392"/>
      <c r="R946" s="1392"/>
      <c r="S946" s="1392"/>
      <c r="T946" s="1393"/>
      <c r="U946" s="1627" t="s">
        <v>600</v>
      </c>
      <c r="V946" s="1628"/>
      <c r="W946" s="1628"/>
      <c r="X946" s="1628"/>
      <c r="Y946" s="1628"/>
      <c r="Z946" s="1629"/>
      <c r="AA946" s="1560"/>
      <c r="AB946" s="1561"/>
      <c r="AC946" s="1561"/>
      <c r="AD946" s="1561"/>
      <c r="AE946" s="1561"/>
      <c r="AF946" s="156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556" t="s">
        <v>2766</v>
      </c>
      <c r="J947" s="1557"/>
      <c r="K947" s="1557"/>
      <c r="L947" s="1557"/>
      <c r="M947" s="1557"/>
      <c r="N947" s="1557"/>
      <c r="O947" s="1557"/>
      <c r="P947" s="1557"/>
      <c r="Q947" s="1557"/>
      <c r="R947" s="1557"/>
      <c r="S947" s="1557"/>
      <c r="T947" s="1558"/>
      <c r="U947" s="1627" t="s">
        <v>554</v>
      </c>
      <c r="V947" s="1628"/>
      <c r="W947" s="1628"/>
      <c r="X947" s="1628"/>
      <c r="Y947" s="1628"/>
      <c r="Z947" s="1629"/>
      <c r="AA947" s="1560">
        <f>AO628+AO630</f>
        <v>18087701</v>
      </c>
      <c r="AB947" s="1561"/>
      <c r="AC947" s="1561"/>
      <c r="AD947" s="1561"/>
      <c r="AE947" s="1561"/>
      <c r="AF947" s="156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556" t="s">
        <v>335</v>
      </c>
      <c r="J948" s="1557"/>
      <c r="K948" s="1557"/>
      <c r="L948" s="1557"/>
      <c r="M948" s="1557"/>
      <c r="N948" s="1557"/>
      <c r="O948" s="1557"/>
      <c r="P948" s="1557"/>
      <c r="Q948" s="1557"/>
      <c r="R948" s="1557"/>
      <c r="S948" s="1557"/>
      <c r="T948" s="1558"/>
      <c r="U948" s="1627" t="s">
        <v>600</v>
      </c>
      <c r="V948" s="1628"/>
      <c r="W948" s="1628"/>
      <c r="X948" s="1628"/>
      <c r="Y948" s="1628"/>
      <c r="Z948" s="1629"/>
      <c r="AA948" s="1560"/>
      <c r="AB948" s="1561"/>
      <c r="AC948" s="1561"/>
      <c r="AD948" s="1561"/>
      <c r="AE948" s="1561"/>
      <c r="AF948" s="156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556" t="s">
        <v>335</v>
      </c>
      <c r="J949" s="1557"/>
      <c r="K949" s="1557"/>
      <c r="L949" s="1557"/>
      <c r="M949" s="1557"/>
      <c r="N949" s="1557"/>
      <c r="O949" s="1557"/>
      <c r="P949" s="1557"/>
      <c r="Q949" s="1557"/>
      <c r="R949" s="1557"/>
      <c r="S949" s="1557"/>
      <c r="T949" s="1558"/>
      <c r="U949" s="1627" t="s">
        <v>600</v>
      </c>
      <c r="V949" s="1628"/>
      <c r="W949" s="1628"/>
      <c r="X949" s="1628"/>
      <c r="Y949" s="1628"/>
      <c r="Z949" s="1629"/>
      <c r="AA949" s="1560"/>
      <c r="AB949" s="1561"/>
      <c r="AC949" s="1561"/>
      <c r="AD949" s="1561"/>
      <c r="AE949" s="1561"/>
      <c r="AF949" s="156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01">
        <v>44701</v>
      </c>
      <c r="N954" s="1602"/>
      <c r="O954" s="1602"/>
      <c r="P954" s="1602"/>
      <c r="Q954" s="1602"/>
      <c r="R954" s="1602"/>
      <c r="S954" s="1603"/>
      <c r="U954" s="66" t="s">
        <v>11</v>
      </c>
      <c r="V954" s="5"/>
      <c r="W954" s="5"/>
      <c r="X954" s="5"/>
      <c r="Y954" s="5"/>
      <c r="Z954" s="5"/>
      <c r="AA954" s="5"/>
      <c r="AB954" s="5"/>
      <c r="AC954" s="5"/>
      <c r="AD954" s="46"/>
      <c r="AE954" s="1601"/>
      <c r="AF954" s="1602"/>
      <c r="AG954" s="1602"/>
      <c r="AH954" s="1602"/>
      <c r="AI954" s="1602"/>
      <c r="AJ954" s="1602"/>
      <c r="AK954" s="160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582" t="s">
        <v>2767</v>
      </c>
      <c r="N955" s="1583"/>
      <c r="O955" s="1583"/>
      <c r="P955" s="1583"/>
      <c r="Q955" s="1583"/>
      <c r="R955" s="1583"/>
      <c r="S955" s="1584"/>
      <c r="U955" s="66" t="s">
        <v>12</v>
      </c>
      <c r="V955" s="5"/>
      <c r="W955" s="5"/>
      <c r="X955" s="5"/>
      <c r="Y955" s="5"/>
      <c r="Z955" s="5"/>
      <c r="AA955" s="5"/>
      <c r="AB955" s="5"/>
      <c r="AC955" s="5"/>
      <c r="AD955" s="46"/>
      <c r="AE955" s="1582"/>
      <c r="AF955" s="1583"/>
      <c r="AG955" s="1583"/>
      <c r="AH955" s="1583"/>
      <c r="AI955" s="1583"/>
      <c r="AJ955" s="1583"/>
      <c r="AK955" s="158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585" t="s">
        <v>2768</v>
      </c>
      <c r="K956" s="1586"/>
      <c r="L956" s="1586"/>
      <c r="M956" s="1586"/>
      <c r="N956" s="1586"/>
      <c r="O956" s="1586"/>
      <c r="P956" s="1586"/>
      <c r="Q956" s="1586"/>
      <c r="R956" s="1586"/>
      <c r="S956" s="1587"/>
      <c r="U956" s="66" t="s">
        <v>893</v>
      </c>
      <c r="V956" s="5"/>
      <c r="W956" s="5"/>
      <c r="AB956" s="1585" t="s">
        <v>308</v>
      </c>
      <c r="AC956" s="1586"/>
      <c r="AD956" s="1586"/>
      <c r="AE956" s="1586"/>
      <c r="AF956" s="1586"/>
      <c r="AG956" s="1586"/>
      <c r="AH956" s="1586"/>
      <c r="AI956" s="1586"/>
      <c r="AJ956" s="1586"/>
      <c r="AK956" s="15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666">
        <v>0.4</v>
      </c>
      <c r="N957" s="1667"/>
      <c r="O957" s="1667"/>
      <c r="P957" s="1667"/>
      <c r="Q957" s="1667"/>
      <c r="R957" s="1667"/>
      <c r="S957" s="1668"/>
      <c r="U957" s="66" t="s">
        <v>13</v>
      </c>
      <c r="V957" s="5"/>
      <c r="W957" s="5"/>
      <c r="X957" s="5"/>
      <c r="Y957" s="5"/>
      <c r="Z957" s="5"/>
      <c r="AA957" s="5"/>
      <c r="AB957" s="5"/>
      <c r="AC957" s="5"/>
      <c r="AD957" s="46"/>
      <c r="AE957" s="1674"/>
      <c r="AF957" s="1667"/>
      <c r="AG957" s="1667"/>
      <c r="AH957" s="1667"/>
      <c r="AI957" s="1667"/>
      <c r="AJ957" s="1667"/>
      <c r="AK957" s="16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375">
        <v>32</v>
      </c>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560">
        <f>Z809</f>
        <v>514656</v>
      </c>
      <c r="N959" s="1561"/>
      <c r="O959" s="1561"/>
      <c r="P959" s="1561"/>
      <c r="Q959" s="1561"/>
      <c r="R959" s="1561"/>
      <c r="S959" s="1562"/>
      <c r="U959" s="66" t="s">
        <v>15</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560">
        <f>M959*M961</f>
        <v>10293120</v>
      </c>
      <c r="N960" s="1561"/>
      <c r="O960" s="1561"/>
      <c r="P960" s="1561"/>
      <c r="Q960" s="1561"/>
      <c r="R960" s="1561"/>
      <c r="S960" s="1562"/>
      <c r="U960" s="66" t="s">
        <v>16</v>
      </c>
      <c r="V960" s="5"/>
      <c r="W960" s="5"/>
      <c r="X960" s="5"/>
      <c r="Y960" s="5"/>
      <c r="Z960" s="5"/>
      <c r="AA960" s="5"/>
      <c r="AB960" s="5"/>
      <c r="AC960" s="5"/>
      <c r="AD960" s="46"/>
      <c r="AE960" s="1560"/>
      <c r="AF960" s="1561"/>
      <c r="AG960" s="1561"/>
      <c r="AH960" s="1561"/>
      <c r="AI960" s="1561"/>
      <c r="AJ960" s="1561"/>
      <c r="AK960" s="156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598">
        <v>20</v>
      </c>
      <c r="N961" s="1599"/>
      <c r="O961" s="1599"/>
      <c r="P961" s="1599"/>
      <c r="Q961" s="1599"/>
      <c r="R961" s="1599"/>
      <c r="S961" s="1600"/>
      <c r="U961" s="121" t="s">
        <v>1774</v>
      </c>
      <c r="V961" s="5"/>
      <c r="W961" s="5"/>
      <c r="X961" s="5"/>
      <c r="Y961" s="5"/>
      <c r="Z961" s="5"/>
      <c r="AA961" s="5"/>
      <c r="AB961" s="5"/>
      <c r="AC961" s="5"/>
      <c r="AD961" s="46"/>
      <c r="AE961" s="1598"/>
      <c r="AF961" s="1599"/>
      <c r="AG961" s="1599"/>
      <c r="AH961" s="1599"/>
      <c r="AI961" s="1599"/>
      <c r="AJ961" s="1599"/>
      <c r="AK961" s="160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550"/>
      <c r="N966" s="1551"/>
      <c r="O966" s="1551"/>
      <c r="P966" s="1551"/>
      <c r="Q966" s="1551"/>
      <c r="R966" s="1551"/>
      <c r="S966" s="1552"/>
      <c r="T966" s="66" t="s">
        <v>800</v>
      </c>
      <c r="U966" s="5"/>
      <c r="V966" s="5"/>
      <c r="W966" s="5"/>
      <c r="X966" s="5"/>
      <c r="Y966" s="5"/>
      <c r="Z966" s="46"/>
      <c r="AA966" s="1550"/>
      <c r="AB966" s="1551"/>
      <c r="AC966" s="1551"/>
      <c r="AD966" s="1551"/>
      <c r="AE966" s="1551"/>
      <c r="AF966" s="1551"/>
      <c r="AG966" s="15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550"/>
      <c r="N967" s="1551"/>
      <c r="O967" s="1551"/>
      <c r="P967" s="1551"/>
      <c r="Q967" s="1551"/>
      <c r="R967" s="1551"/>
      <c r="S967" s="1552"/>
      <c r="T967" s="66" t="s">
        <v>799</v>
      </c>
      <c r="U967" s="5"/>
      <c r="V967" s="5"/>
      <c r="W967" s="5"/>
      <c r="X967" s="5"/>
      <c r="Y967" s="5"/>
      <c r="Z967" s="46"/>
      <c r="AA967" s="1550"/>
      <c r="AB967" s="1551"/>
      <c r="AC967" s="1551"/>
      <c r="AD967" s="1551"/>
      <c r="AE967" s="1551"/>
      <c r="AF967" s="1551"/>
      <c r="AG967" s="15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734" t="s">
        <v>600</v>
      </c>
      <c r="N968" s="1735"/>
      <c r="O968" s="1735"/>
      <c r="P968" s="1735"/>
      <c r="Q968" s="1735"/>
      <c r="R968" s="1735"/>
      <c r="S968" s="1736"/>
      <c r="T968" s="45" t="s">
        <v>338</v>
      </c>
      <c r="U968" s="5"/>
      <c r="V968" s="5"/>
      <c r="W968" s="5"/>
      <c r="X968" s="5"/>
      <c r="Y968" s="5"/>
      <c r="Z968" s="46"/>
      <c r="AA968" s="1550"/>
      <c r="AB968" s="1551"/>
      <c r="AC968" s="1551"/>
      <c r="AD968" s="1551"/>
      <c r="AE968" s="1551"/>
      <c r="AF968" s="1551"/>
      <c r="AG968" s="15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550"/>
      <c r="N969" s="1551"/>
      <c r="O969" s="1551"/>
      <c r="P969" s="1551"/>
      <c r="Q969" s="1551"/>
      <c r="R969" s="1551"/>
      <c r="S969" s="1552"/>
      <c r="T969" s="45" t="s">
        <v>339</v>
      </c>
      <c r="U969" s="5"/>
      <c r="V969" s="5"/>
      <c r="W969" s="5"/>
      <c r="X969" s="5"/>
      <c r="Y969" s="5"/>
      <c r="Z969" s="46"/>
      <c r="AA969" s="1550"/>
      <c r="AB969" s="1551"/>
      <c r="AC969" s="1551"/>
      <c r="AD969" s="1551"/>
      <c r="AE969" s="1551"/>
      <c r="AF969" s="1551"/>
      <c r="AG969" s="15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550"/>
      <c r="N970" s="1551"/>
      <c r="O970" s="1551"/>
      <c r="P970" s="1551"/>
      <c r="Q970" s="1551"/>
      <c r="R970" s="1551"/>
      <c r="S970" s="1552"/>
      <c r="T970" s="45" t="s">
        <v>377</v>
      </c>
      <c r="U970" s="5"/>
      <c r="V970" s="5"/>
      <c r="W970" s="5"/>
      <c r="X970" s="5"/>
      <c r="Y970" s="5"/>
      <c r="Z970" s="46"/>
      <c r="AA970" s="1550"/>
      <c r="AB970" s="1551"/>
      <c r="AC970" s="1551"/>
      <c r="AD970" s="1551"/>
      <c r="AE970" s="1551"/>
      <c r="AF970" s="1551"/>
      <c r="AG970" s="15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585" t="s">
        <v>308</v>
      </c>
      <c r="N971" s="1586"/>
      <c r="O971" s="1586"/>
      <c r="P971" s="1586"/>
      <c r="Q971" s="1586"/>
      <c r="R971" s="1586"/>
      <c r="S971" s="1587"/>
      <c r="T971" s="1633"/>
      <c r="U971" s="1634"/>
      <c r="V971" s="1634"/>
      <c r="W971" s="1634"/>
      <c r="X971" s="1634"/>
      <c r="Y971" s="1634"/>
      <c r="Z971" s="1635"/>
      <c r="AA971" s="1550"/>
      <c r="AB971" s="1551"/>
      <c r="AC971" s="1551"/>
      <c r="AD971" s="1551"/>
      <c r="AE971" s="1551"/>
      <c r="AF971" s="1551"/>
      <c r="AG971" s="15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550"/>
      <c r="N972" s="1551"/>
      <c r="O972" s="1551"/>
      <c r="P972" s="1551"/>
      <c r="Q972" s="1551"/>
      <c r="R972" s="1551"/>
      <c r="S972" s="1552"/>
      <c r="T972" s="1633"/>
      <c r="U972" s="1634"/>
      <c r="V972" s="1634"/>
      <c r="W972" s="1634"/>
      <c r="X972" s="1634"/>
      <c r="Y972" s="1634"/>
      <c r="Z972" s="1635"/>
      <c r="AA972" s="1550"/>
      <c r="AB972" s="1551"/>
      <c r="AC972" s="1551"/>
      <c r="AD972" s="1551"/>
      <c r="AE972" s="1551"/>
      <c r="AF972" s="1551"/>
      <c r="AG972" s="15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708" t="s">
        <v>678</v>
      </c>
      <c r="P973" s="1709"/>
      <c r="Q973" s="92"/>
      <c r="R973" s="92"/>
      <c r="S973" s="93"/>
      <c r="T973" s="41" t="s">
        <v>170</v>
      </c>
      <c r="U973" s="42"/>
      <c r="V973" s="42"/>
      <c r="W973" s="1669" t="s">
        <v>335</v>
      </c>
      <c r="X973" s="1670"/>
      <c r="Y973" s="1670"/>
      <c r="Z973" s="1670"/>
      <c r="AA973" s="1670"/>
      <c r="AB973" s="1670"/>
      <c r="AC973" s="1670"/>
      <c r="AD973" s="1670"/>
      <c r="AE973" s="1670"/>
      <c r="AF973" s="1670"/>
      <c r="AG973" s="167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733" t="s">
        <v>33</v>
      </c>
      <c r="G974" s="1459"/>
      <c r="H974" s="1459"/>
      <c r="I974" s="1459"/>
      <c r="J974" s="1459"/>
      <c r="K974" s="1459"/>
      <c r="L974" s="1459"/>
      <c r="M974" s="1550"/>
      <c r="N974" s="1551"/>
      <c r="O974" s="1551"/>
      <c r="P974" s="1551"/>
      <c r="Q974" s="1551"/>
      <c r="R974" s="1551"/>
      <c r="S974" s="1552"/>
      <c r="T974" s="47"/>
      <c r="U974" s="48"/>
      <c r="V974" s="48"/>
      <c r="W974" s="48"/>
      <c r="X974" s="48"/>
      <c r="Y974" s="48"/>
      <c r="Z974" s="124" t="s">
        <v>134</v>
      </c>
      <c r="AA974" s="1630"/>
      <c r="AB974" s="1631"/>
      <c r="AC974" s="1631"/>
      <c r="AD974" s="1631"/>
      <c r="AE974" s="1631"/>
      <c r="AF974" s="1631"/>
      <c r="AG974" s="163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75"/>
      <c r="BH975" s="1675"/>
      <c r="BI975" s="1675"/>
      <c r="BJ975" s="1675"/>
      <c r="BK975" s="1675"/>
      <c r="BL975" s="167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563" t="s">
        <v>647</v>
      </c>
      <c r="E984" s="1564"/>
      <c r="F984" s="1564"/>
      <c r="G984" s="1564"/>
      <c r="H984" s="1564"/>
      <c r="I984" s="1564"/>
      <c r="J984" s="1564"/>
      <c r="K984" s="1564"/>
      <c r="L984" s="1564"/>
      <c r="M984" s="1564"/>
      <c r="N984" s="1564"/>
      <c r="O984" s="1564"/>
      <c r="P984" s="1564"/>
      <c r="Q984" s="1565"/>
      <c r="R984" s="1563" t="s">
        <v>648</v>
      </c>
      <c r="S984" s="1564"/>
      <c r="T984" s="1564"/>
      <c r="U984" s="1564"/>
      <c r="V984" s="1564"/>
      <c r="W984" s="1564"/>
      <c r="X984" s="1564"/>
      <c r="Y984" s="1564"/>
      <c r="Z984" s="1564"/>
      <c r="AA984" s="1565"/>
      <c r="AB984" s="1563" t="s">
        <v>649</v>
      </c>
      <c r="AC984" s="1564"/>
      <c r="AD984" s="1564"/>
      <c r="AE984" s="1564"/>
      <c r="AF984" s="1564"/>
      <c r="AG984" s="1564"/>
      <c r="AH984" s="1564"/>
      <c r="AI984" s="1565"/>
      <c r="AJ984" s="1563" t="s">
        <v>650</v>
      </c>
      <c r="AK984" s="1564"/>
      <c r="AL984" s="1564"/>
      <c r="AM984" s="1564"/>
      <c r="AN984" s="1564"/>
      <c r="AO984" s="1564"/>
      <c r="AP984" s="1564"/>
      <c r="AQ984" s="15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416" t="s">
        <v>642</v>
      </c>
      <c r="E985" s="1417"/>
      <c r="F985" s="1417"/>
      <c r="G985" s="1417"/>
      <c r="H985" s="1417"/>
      <c r="I985" s="1417"/>
      <c r="J985" s="1417"/>
      <c r="K985" s="1417"/>
      <c r="L985" s="1417"/>
      <c r="M985" s="1417"/>
      <c r="N985" s="1417"/>
      <c r="O985" s="1417"/>
      <c r="P985" s="1417"/>
      <c r="Q985" s="1418"/>
      <c r="R985" s="1578">
        <f>IF(ISNA(IF($BN$796="4%",(INDEX($BP$806:$BT$863,MATCH($CB$796,$BO$806:$BO$863,0),MATCH(D985,$BP$805:$BT$805,0))),(INDEX($BW$806:$CA$863,MATCH($CB$796,$BV$806:$BV$863,0),MATCH(D985,$BW$805:$CA$805,0))))),0,IF($BN$796="4%",(INDEX($BP$806:$BT$863,MATCH($CB$796,$BO$806:$BO$863,0),MATCH(D985,$BP$805:$BT$805,0))),(INDEX($BW$806:$CA$863,MATCH($CB$796,$BV$806:$BV$863,0),MATCH(D985,$BW$805:$CA$805,0)))))</f>
        <v>473390</v>
      </c>
      <c r="S985" s="1578"/>
      <c r="T985" s="1578"/>
      <c r="U985" s="1578"/>
      <c r="V985" s="1578"/>
      <c r="W985" s="1578"/>
      <c r="X985" s="1578"/>
      <c r="Y985" s="1578"/>
      <c r="Z985" s="1578"/>
      <c r="AA985" s="1578"/>
      <c r="AB985" s="1419">
        <f>BN660</f>
        <v>0</v>
      </c>
      <c r="AC985" s="1420"/>
      <c r="AD985" s="1420"/>
      <c r="AE985" s="1420"/>
      <c r="AF985" s="1420"/>
      <c r="AG985" s="1420"/>
      <c r="AH985" s="1420"/>
      <c r="AI985" s="1421"/>
      <c r="AJ985" s="1524">
        <f>IF(ISERROR((R985*AB985)),0,(R985*AB985))</f>
        <v>0</v>
      </c>
      <c r="AK985" s="1525"/>
      <c r="AL985" s="1525"/>
      <c r="AM985" s="1525"/>
      <c r="AN985" s="1525"/>
      <c r="AO985" s="1525"/>
      <c r="AP985" s="1525"/>
      <c r="AQ985" s="15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416" t="s">
        <v>326</v>
      </c>
      <c r="E986" s="1417"/>
      <c r="F986" s="1417"/>
      <c r="G986" s="1417"/>
      <c r="H986" s="1417"/>
      <c r="I986" s="1417"/>
      <c r="J986" s="1417"/>
      <c r="K986" s="1417"/>
      <c r="L986" s="1417"/>
      <c r="M986" s="1417"/>
      <c r="N986" s="1417"/>
      <c r="O986" s="1417"/>
      <c r="P986" s="1417"/>
      <c r="Q986" s="1418"/>
      <c r="R986" s="1578">
        <f>IF(ISNA(IF($BN$796="4%",(INDEX($BP$806:$BT$863,MATCH($CB$796,$BO$806:$BO$863,0),MATCH(D986,$BP$805:$BT$805,0))),(INDEX($BW$806:$CA$863,MATCH($CB$796,$BV$806:$BV$863,0),MATCH(D986,$BW$805:$CA$805,0))))),0,IF($BN$796="4%",(INDEX($BP$806:$BT$863,MATCH($CB$796,$BO$806:$BO$863,0),MATCH(D986,$BP$805:$BT$805,0))),(INDEX($BW$806:$CA$863,MATCH($CB$796,$BV$806:$BV$863,0),MATCH(D986,$BW$805:$CA$805,0)))))</f>
        <v>545814</v>
      </c>
      <c r="S986" s="1578"/>
      <c r="T986" s="1578"/>
      <c r="U986" s="1578"/>
      <c r="V986" s="1578"/>
      <c r="W986" s="1578"/>
      <c r="X986" s="1578"/>
      <c r="Y986" s="1578"/>
      <c r="Z986" s="1578"/>
      <c r="AA986" s="1578"/>
      <c r="AB986" s="1419">
        <f>BS660</f>
        <v>79</v>
      </c>
      <c r="AC986" s="1420"/>
      <c r="AD986" s="1420"/>
      <c r="AE986" s="1420"/>
      <c r="AF986" s="1420"/>
      <c r="AG986" s="1420"/>
      <c r="AH986" s="1420"/>
      <c r="AI986" s="1421"/>
      <c r="AJ986" s="1524">
        <f>IF(ISERROR((R986*AB986)),0,(R986*AB986))</f>
        <v>43119306</v>
      </c>
      <c r="AK986" s="1525"/>
      <c r="AL986" s="1525"/>
      <c r="AM986" s="1525"/>
      <c r="AN986" s="1525"/>
      <c r="AO986" s="1525"/>
      <c r="AP986" s="1525"/>
      <c r="AQ986" s="15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416" t="s">
        <v>163</v>
      </c>
      <c r="E987" s="1417"/>
      <c r="F987" s="1417"/>
      <c r="G987" s="1417"/>
      <c r="H987" s="1417"/>
      <c r="I987" s="1417"/>
      <c r="J987" s="1417"/>
      <c r="K987" s="1417"/>
      <c r="L987" s="1417"/>
      <c r="M987" s="1417"/>
      <c r="N987" s="1417"/>
      <c r="O987" s="1417"/>
      <c r="P987" s="1417"/>
      <c r="Q987" s="1418"/>
      <c r="R987" s="1578">
        <f>IF(ISNA(IF($BN$796="4%",(INDEX($BP$806:$BT$863,MATCH($CB$796,$BO$806:$BO$863,0),MATCH(D987,$BP$805:$BT$805,0))),(INDEX($BW$806:$CA$863,MATCH($CB$796,$BV$806:$BV$863,0),MATCH(D987,$BW$805:$CA$805,0))))),0,IF($BN$796="4%",(INDEX($BP$806:$BT$863,MATCH($CB$796,$BO$806:$BO$863,0),MATCH(D987,$BP$805:$BT$805,0))),(INDEX($BW$806:$CA$863,MATCH($CB$796,$BV$806:$BV$863,0),MATCH(D987,$BW$805:$CA$805,0)))))</f>
        <v>658400</v>
      </c>
      <c r="S987" s="1578"/>
      <c r="T987" s="1578"/>
      <c r="U987" s="1578"/>
      <c r="V987" s="1578"/>
      <c r="W987" s="1578"/>
      <c r="X987" s="1578"/>
      <c r="Y987" s="1578"/>
      <c r="Z987" s="1578"/>
      <c r="AA987" s="1578"/>
      <c r="AB987" s="1419">
        <f>BX660</f>
        <v>1</v>
      </c>
      <c r="AC987" s="1420"/>
      <c r="AD987" s="1420"/>
      <c r="AE987" s="1420"/>
      <c r="AF987" s="1420"/>
      <c r="AG987" s="1420"/>
      <c r="AH987" s="1420"/>
      <c r="AI987" s="1421"/>
      <c r="AJ987" s="1524">
        <f>IF(ISERROR((R987*AB987)),0,(R987*AB987))</f>
        <v>658400</v>
      </c>
      <c r="AK987" s="1525"/>
      <c r="AL987" s="1525"/>
      <c r="AM987" s="1525"/>
      <c r="AN987" s="1525"/>
      <c r="AO987" s="1525"/>
      <c r="AP987" s="1525"/>
      <c r="AQ987" s="15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416" t="s">
        <v>164</v>
      </c>
      <c r="E988" s="1417"/>
      <c r="F988" s="1417"/>
      <c r="G988" s="1417"/>
      <c r="H988" s="1417"/>
      <c r="I988" s="1417"/>
      <c r="J988" s="1417"/>
      <c r="K988" s="1417"/>
      <c r="L988" s="1417"/>
      <c r="M988" s="1417"/>
      <c r="N988" s="1417"/>
      <c r="O988" s="1417"/>
      <c r="P988" s="1417"/>
      <c r="Q988" s="1418"/>
      <c r="R988" s="1578">
        <f>IF(ISNA(IF($BN$796="4%",(INDEX($BP$806:$BT$863,MATCH($CB$796,$BO$806:$BO$863,0),MATCH(D988,$BP$805:$BT$805,0))),(INDEX($BW$806:$CA$863,MATCH($CB$796,$BV$806:$BV$863,0),MATCH(D988,$BW$805:$CA$805,0))))),0,IF($BN$796="4%",(INDEX($BP$806:$BT$863,MATCH($CB$796,$BO$806:$BO$863,0),MATCH(D988,$BP$805:$BT$805,0))),(INDEX($BW$806:$CA$863,MATCH($CB$796,$BV$806:$BV$863,0),MATCH(D988,$BW$805:$CA$805,0)))))</f>
        <v>842752</v>
      </c>
      <c r="S988" s="1578"/>
      <c r="T988" s="1578"/>
      <c r="U988" s="1578"/>
      <c r="V988" s="1578"/>
      <c r="W988" s="1578"/>
      <c r="X988" s="1578"/>
      <c r="Y988" s="1578"/>
      <c r="Z988" s="1578"/>
      <c r="AA988" s="1578"/>
      <c r="AB988" s="1419">
        <f>CC660</f>
        <v>0</v>
      </c>
      <c r="AC988" s="1420"/>
      <c r="AD988" s="1420"/>
      <c r="AE988" s="1420"/>
      <c r="AF988" s="1420"/>
      <c r="AG988" s="1420"/>
      <c r="AH988" s="1420"/>
      <c r="AI988" s="1421"/>
      <c r="AJ988" s="1524">
        <f>IF(ISERROR((R988*AB988)),0,(R988*AB988))</f>
        <v>0</v>
      </c>
      <c r="AK988" s="1525"/>
      <c r="AL988" s="1525"/>
      <c r="AM988" s="1525"/>
      <c r="AN988" s="1525"/>
      <c r="AO988" s="1525"/>
      <c r="AP988" s="1525"/>
      <c r="AQ988" s="15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416" t="s">
        <v>469</v>
      </c>
      <c r="E989" s="1417"/>
      <c r="F989" s="1417"/>
      <c r="G989" s="1417"/>
      <c r="H989" s="1417"/>
      <c r="I989" s="1417"/>
      <c r="J989" s="1417"/>
      <c r="K989" s="1417"/>
      <c r="L989" s="1417"/>
      <c r="M989" s="1417"/>
      <c r="N989" s="1417"/>
      <c r="O989" s="1417"/>
      <c r="P989" s="1417"/>
      <c r="Q989" s="1418"/>
      <c r="R989" s="1578">
        <f>IF(ISNA(IF($BN$796="4%",(INDEX($BP$806:$BT$863,MATCH($CB$796,$BO$806:$BO$863,0),MATCH(D989,$BP$805:$BT$805,0))),(INDEX($BW$806:$CA$863,MATCH($CB$796,$BV$806:$BV$863,0),MATCH(D989,$BW$805:$CA$805,0))))),0,IF($BN$796="4%",(INDEX($BP$806:$BT$863,MATCH($CB$796,$BO$806:$BO$863,0),MATCH(D989,$BP$805:$BT$805,0))),(INDEX($BW$806:$CA$863,MATCH($CB$796,$BV$806:$BV$863,0),MATCH(D989,$BW$805:$CA$805,0)))))</f>
        <v>938878</v>
      </c>
      <c r="S989" s="1578"/>
      <c r="T989" s="1578"/>
      <c r="U989" s="1578"/>
      <c r="V989" s="1578"/>
      <c r="W989" s="1578"/>
      <c r="X989" s="1578"/>
      <c r="Y989" s="1578"/>
      <c r="Z989" s="1578"/>
      <c r="AA989" s="1578"/>
      <c r="AB989" s="1419">
        <f>CM660+CH660</f>
        <v>0</v>
      </c>
      <c r="AC989" s="1420"/>
      <c r="AD989" s="1420"/>
      <c r="AE989" s="1420"/>
      <c r="AF989" s="1420"/>
      <c r="AG989" s="1420"/>
      <c r="AH989" s="1420"/>
      <c r="AI989" s="1421"/>
      <c r="AJ989" s="1524">
        <f>IF(ISERROR((R989*AB989)),0,(R989*AB989))</f>
        <v>0</v>
      </c>
      <c r="AK989" s="1525"/>
      <c r="AL989" s="1525"/>
      <c r="AM989" s="1525"/>
      <c r="AN989" s="1525"/>
      <c r="AO989" s="1525"/>
      <c r="AP989" s="1525"/>
      <c r="AQ989" s="15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607" t="s">
        <v>801</v>
      </c>
      <c r="C990" s="1608"/>
      <c r="D990" s="1608"/>
      <c r="E990" s="1608"/>
      <c r="F990" s="1608"/>
      <c r="G990" s="1608"/>
      <c r="H990" s="1608"/>
      <c r="I990" s="1608"/>
      <c r="J990" s="1608"/>
      <c r="K990" s="1608"/>
      <c r="L990" s="1608"/>
      <c r="M990" s="1608"/>
      <c r="N990" s="1608"/>
      <c r="O990" s="1608"/>
      <c r="P990" s="1608"/>
      <c r="Q990" s="1608"/>
      <c r="R990" s="1608"/>
      <c r="S990" s="1608"/>
      <c r="T990" s="1608"/>
      <c r="U990" s="1608"/>
      <c r="V990" s="1608"/>
      <c r="W990" s="1608"/>
      <c r="X990" s="1608"/>
      <c r="Y990" s="1608"/>
      <c r="Z990" s="1608"/>
      <c r="AA990" s="1609"/>
      <c r="AB990" s="1419">
        <f>SUM(AB985:AI989)</f>
        <v>80</v>
      </c>
      <c r="AC990" s="1420"/>
      <c r="AD990" s="1420"/>
      <c r="AE990" s="1420"/>
      <c r="AF990" s="1420"/>
      <c r="AG990" s="1420"/>
      <c r="AH990" s="1420"/>
      <c r="AI990" s="1421"/>
      <c r="AJ990" s="1524"/>
      <c r="AK990" s="1525"/>
      <c r="AL990" s="1525"/>
      <c r="AM990" s="1525"/>
      <c r="AN990" s="1525"/>
      <c r="AO990" s="1525"/>
      <c r="AP990" s="1525"/>
      <c r="AQ990" s="15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575" t="s">
        <v>521</v>
      </c>
      <c r="C991" s="1576"/>
      <c r="D991" s="1576"/>
      <c r="E991" s="1576"/>
      <c r="F991" s="1576"/>
      <c r="G991" s="1576"/>
      <c r="H991" s="1576"/>
      <c r="I991" s="1576"/>
      <c r="J991" s="1576"/>
      <c r="K991" s="1576"/>
      <c r="L991" s="1576"/>
      <c r="M991" s="1576"/>
      <c r="N991" s="1576"/>
      <c r="O991" s="1576"/>
      <c r="P991" s="1576"/>
      <c r="Q991" s="1576"/>
      <c r="R991" s="1576"/>
      <c r="S991" s="1576"/>
      <c r="T991" s="1576"/>
      <c r="U991" s="1576"/>
      <c r="V991" s="1576"/>
      <c r="W991" s="1576"/>
      <c r="X991" s="1576"/>
      <c r="Y991" s="1576"/>
      <c r="Z991" s="1576"/>
      <c r="AA991" s="1576"/>
      <c r="AB991" s="1576"/>
      <c r="AC991" s="1576"/>
      <c r="AD991" s="1576"/>
      <c r="AE991" s="1576"/>
      <c r="AF991" s="1576"/>
      <c r="AG991" s="1576"/>
      <c r="AH991" s="1576"/>
      <c r="AI991" s="1577"/>
      <c r="AJ991" s="1524">
        <f>SUM(AJ985:AQ989)</f>
        <v>43777706</v>
      </c>
      <c r="AK991" s="1525"/>
      <c r="AL991" s="1525"/>
      <c r="AM991" s="1525"/>
      <c r="AN991" s="1525"/>
      <c r="AO991" s="1525"/>
      <c r="AP991" s="1525"/>
      <c r="AQ991" s="15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527"/>
      <c r="C992" s="1528"/>
      <c r="D992" s="1528"/>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533" t="s">
        <v>675</v>
      </c>
      <c r="AG992" s="1534"/>
      <c r="AH992" s="1534"/>
      <c r="AI992" s="1535"/>
      <c r="AJ992" s="1527"/>
      <c r="AK992" s="1528"/>
      <c r="AL992" s="1528"/>
      <c r="AM992" s="1528"/>
      <c r="AN992" s="1528"/>
      <c r="AO992" s="1528"/>
      <c r="AP992" s="1528"/>
      <c r="AQ992" s="15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540" t="s">
        <v>1327</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36" t="s">
        <v>554</v>
      </c>
      <c r="AH993" s="1537"/>
      <c r="AI993" s="87"/>
      <c r="AJ993" s="1424">
        <f>ROUND(IF(AND(AG993="yes",D999&gt;0),AJ991*0.2,0),0)</f>
        <v>8755541</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604" t="s">
        <v>2567</v>
      </c>
      <c r="E994" s="1605"/>
      <c r="F994" s="1605"/>
      <c r="G994" s="1605"/>
      <c r="H994" s="1605"/>
      <c r="I994" s="1605"/>
      <c r="J994" s="1605"/>
      <c r="K994" s="1605"/>
      <c r="L994" s="1605"/>
      <c r="M994" s="1605"/>
      <c r="N994" s="1605"/>
      <c r="O994" s="1605"/>
      <c r="P994" s="1605"/>
      <c r="Q994" s="1605"/>
      <c r="R994" s="1605"/>
      <c r="S994" s="1605"/>
      <c r="T994" s="1605"/>
      <c r="U994" s="1605"/>
      <c r="V994" s="1605"/>
      <c r="W994" s="1605"/>
      <c r="X994" s="1605"/>
      <c r="Y994" s="1605"/>
      <c r="Z994" s="1605"/>
      <c r="AA994" s="1605"/>
      <c r="AB994" s="1605"/>
      <c r="AC994" s="1605"/>
      <c r="AD994" s="1605"/>
      <c r="AE994" s="1606"/>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604"/>
      <c r="E995" s="1605"/>
      <c r="F995" s="1605"/>
      <c r="G995" s="1605"/>
      <c r="H995" s="1605"/>
      <c r="I995" s="1605"/>
      <c r="J995" s="1605"/>
      <c r="K995" s="1605"/>
      <c r="L995" s="1605"/>
      <c r="M995" s="1605"/>
      <c r="N995" s="1605"/>
      <c r="O995" s="1605"/>
      <c r="P995" s="1605"/>
      <c r="Q995" s="1605"/>
      <c r="R995" s="1605"/>
      <c r="S995" s="1605"/>
      <c r="T995" s="1605"/>
      <c r="U995" s="1605"/>
      <c r="V995" s="1605"/>
      <c r="W995" s="1605"/>
      <c r="X995" s="1605"/>
      <c r="Y995" s="1605"/>
      <c r="Z995" s="1605"/>
      <c r="AA995" s="1605"/>
      <c r="AB995" s="1605"/>
      <c r="AC995" s="1605"/>
      <c r="AD995" s="1605"/>
      <c r="AE995" s="1606"/>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604"/>
      <c r="E996" s="1605"/>
      <c r="F996" s="1605"/>
      <c r="G996" s="1605"/>
      <c r="H996" s="1605"/>
      <c r="I996" s="1605"/>
      <c r="J996" s="1605"/>
      <c r="K996" s="1605"/>
      <c r="L996" s="1605"/>
      <c r="M996" s="1605"/>
      <c r="N996" s="1605"/>
      <c r="O996" s="1605"/>
      <c r="P996" s="1605"/>
      <c r="Q996" s="1605"/>
      <c r="R996" s="1605"/>
      <c r="S996" s="1605"/>
      <c r="T996" s="1605"/>
      <c r="U996" s="1605"/>
      <c r="V996" s="1605"/>
      <c r="W996" s="1605"/>
      <c r="X996" s="1605"/>
      <c r="Y996" s="1605"/>
      <c r="Z996" s="1605"/>
      <c r="AA996" s="1605"/>
      <c r="AB996" s="1605"/>
      <c r="AC996" s="1605"/>
      <c r="AD996" s="1605"/>
      <c r="AE996" s="1606"/>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604"/>
      <c r="E997" s="1605"/>
      <c r="F997" s="1605"/>
      <c r="G997" s="1605"/>
      <c r="H997" s="1605"/>
      <c r="I997" s="1605"/>
      <c r="J997" s="1605"/>
      <c r="K997" s="1605"/>
      <c r="L997" s="1605"/>
      <c r="M997" s="1605"/>
      <c r="N997" s="1605"/>
      <c r="O997" s="1605"/>
      <c r="P997" s="1605"/>
      <c r="Q997" s="1605"/>
      <c r="R997" s="1605"/>
      <c r="S997" s="1605"/>
      <c r="T997" s="1605"/>
      <c r="U997" s="1605"/>
      <c r="V997" s="1605"/>
      <c r="W997" s="1605"/>
      <c r="X997" s="1605"/>
      <c r="Y997" s="1605"/>
      <c r="Z997" s="1605"/>
      <c r="AA997" s="1605"/>
      <c r="AB997" s="1605"/>
      <c r="AC997" s="1605"/>
      <c r="AD997" s="1605"/>
      <c r="AE997" s="1606"/>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579" t="s">
        <v>2568</v>
      </c>
      <c r="E998" s="1580"/>
      <c r="F998" s="1580"/>
      <c r="G998" s="1580"/>
      <c r="H998" s="1580"/>
      <c r="I998" s="1580"/>
      <c r="J998" s="1580"/>
      <c r="K998" s="1580"/>
      <c r="L998" s="1580"/>
      <c r="M998" s="1580"/>
      <c r="N998" s="1580"/>
      <c r="O998" s="1580"/>
      <c r="P998" s="1580"/>
      <c r="Q998" s="1580"/>
      <c r="R998" s="1580"/>
      <c r="S998" s="1580"/>
      <c r="T998" s="1580"/>
      <c r="U998" s="1580"/>
      <c r="V998" s="1580"/>
      <c r="W998" s="1580"/>
      <c r="X998" s="1580"/>
      <c r="Y998" s="1580"/>
      <c r="Z998" s="1580"/>
      <c r="AA998" s="1580"/>
      <c r="AB998" s="1580"/>
      <c r="AC998" s="1580"/>
      <c r="AD998" s="1580"/>
      <c r="AE998" s="1581"/>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610" t="s">
        <v>2766</v>
      </c>
      <c r="E999" s="1611"/>
      <c r="F999" s="1611"/>
      <c r="G999" s="1611"/>
      <c r="H999" s="1611"/>
      <c r="I999" s="1611"/>
      <c r="J999" s="1611"/>
      <c r="K999" s="1611"/>
      <c r="L999" s="1611"/>
      <c r="M999" s="1611"/>
      <c r="N999" s="1611"/>
      <c r="O999" s="1611"/>
      <c r="P999" s="1611"/>
      <c r="Q999" s="1611"/>
      <c r="R999" s="1611"/>
      <c r="S999" s="1611"/>
      <c r="T999" s="1611"/>
      <c r="U999" s="1611"/>
      <c r="V999" s="1611"/>
      <c r="W999" s="1611"/>
      <c r="X999" s="1611"/>
      <c r="Y999" s="1611"/>
      <c r="Z999" s="1611"/>
      <c r="AA999" s="1611"/>
      <c r="AB999" s="1611"/>
      <c r="AC999" s="1611"/>
      <c r="AD999" s="1611"/>
      <c r="AE999" s="1612"/>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530" t="s">
        <v>1395</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79"/>
      <c r="AG1000" s="1538" t="s">
        <v>678</v>
      </c>
      <c r="AH1000" s="1539"/>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604" t="s">
        <v>1393</v>
      </c>
      <c r="E1001" s="1605"/>
      <c r="F1001" s="1605"/>
      <c r="G1001" s="1605"/>
      <c r="H1001" s="1605"/>
      <c r="I1001" s="1605"/>
      <c r="J1001" s="1605"/>
      <c r="K1001" s="1605"/>
      <c r="L1001" s="1605"/>
      <c r="M1001" s="1605"/>
      <c r="N1001" s="1605"/>
      <c r="O1001" s="1605"/>
      <c r="P1001" s="1605"/>
      <c r="Q1001" s="1605"/>
      <c r="R1001" s="1605"/>
      <c r="S1001" s="1605"/>
      <c r="T1001" s="1605"/>
      <c r="U1001" s="1605"/>
      <c r="V1001" s="1605"/>
      <c r="W1001" s="1605"/>
      <c r="X1001" s="1605"/>
      <c r="Y1001" s="1605"/>
      <c r="Z1001" s="1605"/>
      <c r="AA1001" s="1605"/>
      <c r="AB1001" s="1605"/>
      <c r="AC1001" s="1605"/>
      <c r="AD1001" s="1605"/>
      <c r="AE1001" s="1606"/>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604"/>
      <c r="E1002" s="1605"/>
      <c r="F1002" s="1605"/>
      <c r="G1002" s="1605"/>
      <c r="H1002" s="1605"/>
      <c r="I1002" s="1605"/>
      <c r="J1002" s="1605"/>
      <c r="K1002" s="1605"/>
      <c r="L1002" s="1605"/>
      <c r="M1002" s="1605"/>
      <c r="N1002" s="1605"/>
      <c r="O1002" s="1605"/>
      <c r="P1002" s="1605"/>
      <c r="Q1002" s="1605"/>
      <c r="R1002" s="1605"/>
      <c r="S1002" s="1605"/>
      <c r="T1002" s="1605"/>
      <c r="U1002" s="1605"/>
      <c r="V1002" s="1605"/>
      <c r="W1002" s="1605"/>
      <c r="X1002" s="1605"/>
      <c r="Y1002" s="1605"/>
      <c r="Z1002" s="1605"/>
      <c r="AA1002" s="1605"/>
      <c r="AB1002" s="1605"/>
      <c r="AC1002" s="1605"/>
      <c r="AD1002" s="1605"/>
      <c r="AE1002" s="1606"/>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604"/>
      <c r="E1003" s="1605"/>
      <c r="F1003" s="1605"/>
      <c r="G1003" s="1605"/>
      <c r="H1003" s="1605"/>
      <c r="I1003" s="1605"/>
      <c r="J1003" s="1605"/>
      <c r="K1003" s="1605"/>
      <c r="L1003" s="1605"/>
      <c r="M1003" s="1605"/>
      <c r="N1003" s="1605"/>
      <c r="O1003" s="1605"/>
      <c r="P1003" s="1605"/>
      <c r="Q1003" s="1605"/>
      <c r="R1003" s="1605"/>
      <c r="S1003" s="1605"/>
      <c r="T1003" s="1605"/>
      <c r="U1003" s="1605"/>
      <c r="V1003" s="1605"/>
      <c r="W1003" s="1605"/>
      <c r="X1003" s="1605"/>
      <c r="Y1003" s="1605"/>
      <c r="Z1003" s="1605"/>
      <c r="AA1003" s="1605"/>
      <c r="AB1003" s="1605"/>
      <c r="AC1003" s="1605"/>
      <c r="AD1003" s="1605"/>
      <c r="AE1003" s="1606"/>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604"/>
      <c r="E1004" s="1605"/>
      <c r="F1004" s="1605"/>
      <c r="G1004" s="1605"/>
      <c r="H1004" s="1605"/>
      <c r="I1004" s="1605"/>
      <c r="J1004" s="1605"/>
      <c r="K1004" s="1605"/>
      <c r="L1004" s="1605"/>
      <c r="M1004" s="1605"/>
      <c r="N1004" s="1605"/>
      <c r="O1004" s="1605"/>
      <c r="P1004" s="1605"/>
      <c r="Q1004" s="1605"/>
      <c r="R1004" s="1605"/>
      <c r="S1004" s="1605"/>
      <c r="T1004" s="1605"/>
      <c r="U1004" s="1605"/>
      <c r="V1004" s="1605"/>
      <c r="W1004" s="1605"/>
      <c r="X1004" s="1605"/>
      <c r="Y1004" s="1605"/>
      <c r="Z1004" s="1605"/>
      <c r="AA1004" s="1605"/>
      <c r="AB1004" s="1605"/>
      <c r="AC1004" s="1605"/>
      <c r="AD1004" s="1605"/>
      <c r="AE1004" s="1606"/>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0.68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579"/>
      <c r="E1005" s="1580"/>
      <c r="F1005" s="1580"/>
      <c r="G1005" s="1580"/>
      <c r="H1005" s="1580"/>
      <c r="I1005" s="1580"/>
      <c r="J1005" s="1580"/>
      <c r="K1005" s="1580"/>
      <c r="L1005" s="1580"/>
      <c r="M1005" s="1580"/>
      <c r="N1005" s="1580"/>
      <c r="O1005" s="1580"/>
      <c r="P1005" s="1580"/>
      <c r="Q1005" s="1580"/>
      <c r="R1005" s="1580"/>
      <c r="S1005" s="1580"/>
      <c r="T1005" s="1580"/>
      <c r="U1005" s="1580"/>
      <c r="V1005" s="1580"/>
      <c r="W1005" s="1580"/>
      <c r="X1005" s="1580"/>
      <c r="Y1005" s="1580"/>
      <c r="Z1005" s="1580"/>
      <c r="AA1005" s="1580"/>
      <c r="AB1005" s="1580"/>
      <c r="AC1005" s="1580"/>
      <c r="AD1005" s="1580"/>
      <c r="AE1005" s="1581"/>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0.31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530" t="s">
        <v>1872</v>
      </c>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86"/>
      <c r="AG1006" s="1538" t="s">
        <v>678</v>
      </c>
      <c r="AH1006" s="1539"/>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 customHeight="1">
      <c r="A1007" s="14"/>
      <c r="B1007" s="73"/>
      <c r="C1007" s="74"/>
      <c r="D1007" s="1518" t="s">
        <v>1394</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 customHeight="1">
      <c r="A1010" s="14"/>
      <c r="B1010" s="79"/>
      <c r="C1010" s="80" t="s">
        <v>213</v>
      </c>
      <c r="D1010" s="1530" t="s">
        <v>1396</v>
      </c>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79"/>
      <c r="AG1010" s="1538" t="s">
        <v>678</v>
      </c>
      <c r="AH1010" s="1539"/>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3" t="s">
        <v>1397</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 customHeight="1">
      <c r="A1012" s="14"/>
      <c r="B1012" s="79"/>
      <c r="C1012" s="80" t="s">
        <v>216</v>
      </c>
      <c r="D1012" s="1530" t="s">
        <v>1398</v>
      </c>
      <c r="E1012" s="1531"/>
      <c r="F1012" s="1531"/>
      <c r="G1012" s="1531"/>
      <c r="H1012" s="1531"/>
      <c r="I1012" s="1531"/>
      <c r="J1012" s="1531"/>
      <c r="K1012" s="1531"/>
      <c r="L1012" s="1531"/>
      <c r="M1012" s="1531"/>
      <c r="N1012" s="1531"/>
      <c r="O1012" s="1531"/>
      <c r="P1012" s="1531"/>
      <c r="Q1012" s="1531"/>
      <c r="R1012" s="1531"/>
      <c r="S1012" s="1531"/>
      <c r="T1012" s="1531"/>
      <c r="U1012" s="1531"/>
      <c r="V1012" s="1531"/>
      <c r="W1012" s="1531"/>
      <c r="X1012" s="1531"/>
      <c r="Y1012" s="1531"/>
      <c r="Z1012" s="1531"/>
      <c r="AA1012" s="1531"/>
      <c r="AB1012" s="1531"/>
      <c r="AC1012" s="1531"/>
      <c r="AD1012" s="1531"/>
      <c r="AE1012" s="1532"/>
      <c r="AF1012" s="79"/>
      <c r="AG1012" s="1538" t="s">
        <v>678</v>
      </c>
      <c r="AH1012" s="1539"/>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 customHeight="1">
      <c r="A1013" s="14"/>
      <c r="B1013" s="73"/>
      <c r="C1013" s="74"/>
      <c r="D1013" s="1518" t="s">
        <v>1399</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 customHeight="1">
      <c r="A1015" s="14"/>
      <c r="B1015" s="79"/>
      <c r="C1015" s="80" t="s">
        <v>219</v>
      </c>
      <c r="D1015" s="1540" t="s">
        <v>1400</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38" t="s">
        <v>678</v>
      </c>
      <c r="AH1015" s="1539"/>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 customHeight="1">
      <c r="A1016" s="14"/>
      <c r="B1016" s="73"/>
      <c r="C1016" s="74"/>
      <c r="D1016" s="1518" t="s">
        <v>1401</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 customHeight="1">
      <c r="A1019" s="14"/>
      <c r="B1019" s="79"/>
      <c r="C1019" s="80" t="s">
        <v>224</v>
      </c>
      <c r="D1019" s="1566" t="s">
        <v>1402</v>
      </c>
      <c r="E1019" s="1567"/>
      <c r="F1019" s="1567"/>
      <c r="G1019" s="1567"/>
      <c r="H1019" s="1567"/>
      <c r="I1019" s="1567"/>
      <c r="J1019" s="1567"/>
      <c r="K1019" s="1567"/>
      <c r="L1019" s="1567"/>
      <c r="M1019" s="1567"/>
      <c r="N1019" s="1567"/>
      <c r="O1019" s="1567"/>
      <c r="P1019" s="1567"/>
      <c r="Q1019" s="1567"/>
      <c r="R1019" s="1567"/>
      <c r="S1019" s="1567"/>
      <c r="T1019" s="1567"/>
      <c r="U1019" s="1567"/>
      <c r="V1019" s="1567"/>
      <c r="W1019" s="1567"/>
      <c r="X1019" s="1567"/>
      <c r="Y1019" s="1567"/>
      <c r="Z1019" s="1567"/>
      <c r="AA1019" s="1567"/>
      <c r="AB1019" s="1567"/>
      <c r="AC1019" s="1567"/>
      <c r="AD1019" s="1567"/>
      <c r="AE1019" s="1568"/>
      <c r="AF1019" s="79"/>
      <c r="AG1019" s="1538" t="s">
        <v>678</v>
      </c>
      <c r="AH1019" s="1539"/>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 customHeight="1">
      <c r="A1020" s="14"/>
      <c r="B1020" s="81"/>
      <c r="C1020" s="84"/>
      <c r="D1020" s="1569"/>
      <c r="E1020" s="1570"/>
      <c r="F1020" s="1570"/>
      <c r="G1020" s="1570"/>
      <c r="H1020" s="1570"/>
      <c r="I1020" s="1570"/>
      <c r="J1020" s="1570"/>
      <c r="K1020" s="1570"/>
      <c r="L1020" s="1570"/>
      <c r="M1020" s="1570"/>
      <c r="N1020" s="1570"/>
      <c r="O1020" s="1570"/>
      <c r="P1020" s="1570"/>
      <c r="Q1020" s="1570"/>
      <c r="R1020" s="1570"/>
      <c r="S1020" s="1570"/>
      <c r="T1020" s="1570"/>
      <c r="U1020" s="1570"/>
      <c r="V1020" s="1570"/>
      <c r="W1020" s="1570"/>
      <c r="X1020" s="1570"/>
      <c r="Y1020" s="1570"/>
      <c r="Z1020" s="1570"/>
      <c r="AA1020" s="1570"/>
      <c r="AB1020" s="1570"/>
      <c r="AC1020" s="1570"/>
      <c r="AD1020" s="1570"/>
      <c r="AE1020" s="1571"/>
      <c r="AF1020" s="1546" t="str">
        <f>IF(AG1019="yes","Please Select Type and Enter Amount:","")</f>
        <v/>
      </c>
      <c r="AG1020" s="1547"/>
      <c r="AH1020" s="1547"/>
      <c r="AI1020" s="1548"/>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 customHeight="1">
      <c r="A1021" s="14"/>
      <c r="B1021" s="81"/>
      <c r="C1021" s="84"/>
      <c r="D1021" s="1518" t="s">
        <v>1403</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46"/>
      <c r="AG1021" s="1547"/>
      <c r="AH1021" s="1547"/>
      <c r="AI1021" s="1548"/>
      <c r="AJ1021" s="1427"/>
      <c r="AK1021" s="1428"/>
      <c r="AL1021" s="1428"/>
      <c r="AM1021" s="1428"/>
      <c r="AN1021" s="1428"/>
      <c r="AO1021" s="1428"/>
      <c r="AP1021" s="1428"/>
      <c r="AQ1021" s="1429"/>
      <c r="AR1021" s="68"/>
      <c r="AS1021" s="68"/>
      <c r="AT1021" s="68"/>
      <c r="AU1021" s="68"/>
      <c r="AV1021" s="68"/>
      <c r="AW1021" s="68"/>
      <c r="AX1021" s="68"/>
      <c r="AY1021" s="68"/>
    </row>
    <row r="1022" spans="1:51" ht="12.9"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49"/>
      <c r="AG1022" s="1549"/>
      <c r="AH1022" s="1549"/>
      <c r="AI1022" s="1549"/>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521" t="s">
        <v>600</v>
      </c>
      <c r="K1023" s="1522"/>
      <c r="L1023" s="1522"/>
      <c r="M1023" s="1522"/>
      <c r="N1023" s="1522"/>
      <c r="O1023" s="1522"/>
      <c r="P1023" s="1522"/>
      <c r="Q1023" s="1522"/>
      <c r="R1023" s="1522"/>
      <c r="S1023" s="1522"/>
      <c r="T1023" s="1522"/>
      <c r="U1023" s="1522"/>
      <c r="V1023" s="1522"/>
      <c r="W1023" s="1522"/>
      <c r="X1023" s="1522"/>
      <c r="Y1023" s="1522"/>
      <c r="Z1023" s="1522"/>
      <c r="AA1023" s="1522"/>
      <c r="AB1023" s="1522"/>
      <c r="AC1023" s="1522"/>
      <c r="AD1023" s="1522"/>
      <c r="AE1023" s="1523"/>
      <c r="AF1023" s="1549"/>
      <c r="AG1023" s="1549"/>
      <c r="AH1023" s="1549"/>
      <c r="AI1023" s="1549"/>
      <c r="AJ1023" s="1430"/>
      <c r="AK1023" s="1431"/>
      <c r="AL1023" s="1431"/>
      <c r="AM1023" s="1431"/>
      <c r="AN1023" s="1431"/>
      <c r="AO1023" s="1431"/>
      <c r="AP1023" s="1431"/>
      <c r="AQ1023" s="1432"/>
      <c r="AR1023" s="68"/>
      <c r="AS1023" s="68"/>
      <c r="AT1023" s="68"/>
      <c r="AU1023" s="68"/>
      <c r="AV1023" s="68"/>
      <c r="AW1023" s="68"/>
      <c r="AX1023" s="68"/>
      <c r="AY1023" s="68"/>
    </row>
    <row r="1024" spans="1:51" ht="12.9" customHeight="1">
      <c r="A1024" s="14"/>
      <c r="B1024" s="79"/>
      <c r="C1024" s="80" t="s">
        <v>230</v>
      </c>
      <c r="D1024" s="1530" t="s">
        <v>1404</v>
      </c>
      <c r="E1024" s="1531"/>
      <c r="F1024" s="1531"/>
      <c r="G1024" s="1531"/>
      <c r="H1024" s="1531"/>
      <c r="I1024" s="1531"/>
      <c r="J1024" s="1531"/>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79"/>
      <c r="AG1024" s="1538" t="s">
        <v>554</v>
      </c>
      <c r="AH1024" s="1539"/>
      <c r="AI1024" s="87"/>
      <c r="AJ1024" s="1424">
        <f>ROUND(IF(AG1024="Yes",AF1026,0),0)</f>
        <v>1091517</v>
      </c>
      <c r="AK1024" s="1425"/>
      <c r="AL1024" s="1425"/>
      <c r="AM1024" s="1425"/>
      <c r="AN1024" s="1425"/>
      <c r="AO1024" s="1425"/>
      <c r="AP1024" s="1425"/>
      <c r="AQ1024" s="1426"/>
      <c r="AR1024" s="68"/>
      <c r="AS1024" s="68"/>
      <c r="AT1024" s="68"/>
      <c r="AU1024" s="68"/>
      <c r="AV1024" s="68"/>
      <c r="AW1024" s="68"/>
      <c r="AX1024" s="68"/>
      <c r="AY1024" s="68"/>
    </row>
    <row r="1025" spans="1:51" ht="12.9" customHeight="1">
      <c r="A1025" s="14"/>
      <c r="B1025" s="73"/>
      <c r="C1025" s="74"/>
      <c r="D1025" s="1518" t="s">
        <v>1879</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72" t="str">
        <f>IF(AG1024="yes","Enter Amount:","")</f>
        <v>Enter Amount:</v>
      </c>
      <c r="AG1025" s="1573"/>
      <c r="AH1025" s="1573"/>
      <c r="AI1025" s="1574"/>
      <c r="AJ1025" s="1427"/>
      <c r="AK1025" s="1428"/>
      <c r="AL1025" s="1428"/>
      <c r="AM1025" s="1428"/>
      <c r="AN1025" s="1428"/>
      <c r="AO1025" s="1428"/>
      <c r="AP1025" s="1428"/>
      <c r="AQ1025" s="1429"/>
      <c r="AR1025" s="68"/>
      <c r="AS1025" s="68"/>
      <c r="AT1025" s="68"/>
      <c r="AU1025" s="68"/>
      <c r="AV1025" s="68"/>
      <c r="AW1025" s="68"/>
      <c r="AX1025" s="68"/>
      <c r="AY1025" s="68"/>
    </row>
    <row r="1026" spans="1:51" ht="12.9"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49">
        <f>'[3]Sources and Uses Budget'!C85</f>
        <v>1091517</v>
      </c>
      <c r="AG1026" s="1549"/>
      <c r="AH1026" s="1549"/>
      <c r="AI1026" s="1549"/>
      <c r="AJ1026" s="1427"/>
      <c r="AK1026" s="1428"/>
      <c r="AL1026" s="1428"/>
      <c r="AM1026" s="1428"/>
      <c r="AN1026" s="1428"/>
      <c r="AO1026" s="1428"/>
      <c r="AP1026" s="1428"/>
      <c r="AQ1026" s="1429"/>
      <c r="AR1026" s="68"/>
      <c r="AS1026" s="68"/>
      <c r="AT1026" s="68"/>
      <c r="AU1026" s="68"/>
      <c r="AV1026" s="68"/>
      <c r="AW1026" s="68"/>
      <c r="AX1026" s="68"/>
      <c r="AY1026" s="68"/>
    </row>
    <row r="1027" spans="1:51" ht="12.9"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30"/>
      <c r="AK1027" s="1431"/>
      <c r="AL1027" s="1431"/>
      <c r="AM1027" s="1431"/>
      <c r="AN1027" s="1431"/>
      <c r="AO1027" s="1431"/>
      <c r="AP1027" s="1431"/>
      <c r="AQ1027" s="1432"/>
      <c r="AR1027" s="68"/>
      <c r="AS1027" s="68"/>
      <c r="AT1027" s="68"/>
      <c r="AU1027" s="68"/>
      <c r="AV1027" s="68"/>
      <c r="AW1027" s="68"/>
      <c r="AX1027" s="68"/>
      <c r="AY1027" s="68"/>
    </row>
    <row r="1028" spans="1:51" ht="12.9" customHeight="1">
      <c r="A1028" s="14"/>
      <c r="B1028" s="79"/>
      <c r="C1028" s="80" t="s">
        <v>235</v>
      </c>
      <c r="D1028" s="1540" t="s">
        <v>1405</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38" t="s">
        <v>554</v>
      </c>
      <c r="AH1028" s="1539"/>
      <c r="AI1028" s="87"/>
      <c r="AJ1028" s="1424">
        <f>ROUND(IF(AG1028="yes",(AJ991*0.1),0),0)</f>
        <v>4377771</v>
      </c>
      <c r="AK1028" s="1425"/>
      <c r="AL1028" s="1425"/>
      <c r="AM1028" s="1425"/>
      <c r="AN1028" s="1425"/>
      <c r="AO1028" s="1425"/>
      <c r="AP1028" s="1425"/>
      <c r="AQ1028" s="1426"/>
      <c r="AR1028" s="68"/>
      <c r="AS1028" s="68"/>
      <c r="AT1028" s="68"/>
      <c r="AU1028" s="68"/>
      <c r="AV1028" s="68"/>
      <c r="AW1028" s="68"/>
      <c r="AX1028" s="68"/>
      <c r="AY1028" s="68"/>
    </row>
    <row r="1029" spans="1:51" ht="12.9" customHeight="1">
      <c r="A1029" s="14"/>
      <c r="B1029" s="73"/>
      <c r="C1029" s="74"/>
      <c r="D1029" s="1518" t="s">
        <v>1406</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 customHeight="1">
      <c r="A1031" s="14"/>
      <c r="B1031" s="73"/>
      <c r="C1031" s="367" t="s">
        <v>697</v>
      </c>
      <c r="D1031" s="1530" t="s">
        <v>1875</v>
      </c>
      <c r="E1031" s="1531"/>
      <c r="F1031" s="1531"/>
      <c r="G1031" s="1531"/>
      <c r="H1031" s="1531"/>
      <c r="I1031" s="1531"/>
      <c r="J1031" s="1531"/>
      <c r="K1031" s="1531"/>
      <c r="L1031" s="1531"/>
      <c r="M1031" s="1531"/>
      <c r="N1031" s="1531"/>
      <c r="O1031" s="1531"/>
      <c r="P1031" s="1531"/>
      <c r="Q1031" s="1531"/>
      <c r="R1031" s="1531"/>
      <c r="S1031" s="1531"/>
      <c r="T1031" s="1531"/>
      <c r="U1031" s="1531"/>
      <c r="V1031" s="1531"/>
      <c r="W1031" s="1531"/>
      <c r="X1031" s="1531"/>
      <c r="Y1031" s="1531"/>
      <c r="Z1031" s="1531"/>
      <c r="AA1031" s="1531"/>
      <c r="AB1031" s="1531"/>
      <c r="AC1031" s="1531"/>
      <c r="AD1031" s="1531"/>
      <c r="AE1031" s="1532"/>
      <c r="AF1031" s="79"/>
      <c r="AG1031" s="1538" t="s">
        <v>678</v>
      </c>
      <c r="AH1031" s="1539"/>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 customHeight="1">
      <c r="A1032" s="14"/>
      <c r="B1032" s="73"/>
      <c r="C1032" s="74"/>
      <c r="D1032" s="1591"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92"/>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 customHeight="1">
      <c r="A1033" s="14"/>
      <c r="B1033" s="73"/>
      <c r="C1033" s="74"/>
      <c r="D1033" s="1591"/>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92"/>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 customHeight="1">
      <c r="A1034" s="14"/>
      <c r="B1034" s="73"/>
      <c r="C1034" s="74"/>
      <c r="D1034" s="1593"/>
      <c r="E1034" s="1594"/>
      <c r="F1034" s="1594"/>
      <c r="G1034" s="1594"/>
      <c r="H1034" s="1594"/>
      <c r="I1034" s="1594"/>
      <c r="J1034" s="1594"/>
      <c r="K1034" s="1594"/>
      <c r="L1034" s="1594"/>
      <c r="M1034" s="1594"/>
      <c r="N1034" s="1594"/>
      <c r="O1034" s="1594"/>
      <c r="P1034" s="1594"/>
      <c r="Q1034" s="1594"/>
      <c r="R1034" s="1594"/>
      <c r="S1034" s="1594"/>
      <c r="T1034" s="1594"/>
      <c r="U1034" s="1594"/>
      <c r="V1034" s="1594"/>
      <c r="W1034" s="1594"/>
      <c r="X1034" s="1594"/>
      <c r="Y1034" s="1594"/>
      <c r="Z1034" s="1594"/>
      <c r="AA1034" s="1594"/>
      <c r="AB1034" s="1594"/>
      <c r="AC1034" s="1594"/>
      <c r="AD1034" s="1594"/>
      <c r="AE1034" s="1595"/>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 customHeight="1">
      <c r="A1035" s="14"/>
      <c r="B1035" s="73"/>
      <c r="C1035" s="367" t="s">
        <v>697</v>
      </c>
      <c r="D1035" s="1540" t="s">
        <v>1877</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619" t="s">
        <v>678</v>
      </c>
      <c r="AH1035" s="1620"/>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 customHeight="1">
      <c r="A1036" s="14"/>
      <c r="B1036" s="73"/>
      <c r="C1036" s="74"/>
      <c r="D1036" s="1591"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92"/>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 customHeight="1">
      <c r="A1037" s="14"/>
      <c r="B1037" s="73"/>
      <c r="C1037" s="74"/>
      <c r="D1037" s="1591"/>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92"/>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 customHeight="1">
      <c r="A1038" s="14"/>
      <c r="B1038" s="73"/>
      <c r="C1038" s="74"/>
      <c r="D1038" s="1591"/>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92"/>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 customHeight="1">
      <c r="A1039" s="14"/>
      <c r="B1039" s="73"/>
      <c r="C1039" s="74"/>
      <c r="D1039" s="1593"/>
      <c r="E1039" s="1594"/>
      <c r="F1039" s="1594"/>
      <c r="G1039" s="1594"/>
      <c r="H1039" s="1594"/>
      <c r="I1039" s="1594"/>
      <c r="J1039" s="1594"/>
      <c r="K1039" s="1594"/>
      <c r="L1039" s="1594"/>
      <c r="M1039" s="1594"/>
      <c r="N1039" s="1594"/>
      <c r="O1039" s="1594"/>
      <c r="P1039" s="1594"/>
      <c r="Q1039" s="1594"/>
      <c r="R1039" s="1594"/>
      <c r="S1039" s="1594"/>
      <c r="T1039" s="1594"/>
      <c r="U1039" s="1594"/>
      <c r="V1039" s="1594"/>
      <c r="W1039" s="1594"/>
      <c r="X1039" s="1594"/>
      <c r="Y1039" s="1594"/>
      <c r="Z1039" s="1594"/>
      <c r="AA1039" s="1594"/>
      <c r="AB1039" s="1594"/>
      <c r="AC1039" s="1594"/>
      <c r="AD1039" s="1594"/>
      <c r="AE1039" s="1595"/>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 customHeight="1">
      <c r="A1040" s="14"/>
      <c r="B1040" s="79"/>
      <c r="C1040" s="131" t="s">
        <v>1035</v>
      </c>
      <c r="D1040" s="1530" t="s">
        <v>1407</v>
      </c>
      <c r="E1040" s="1531"/>
      <c r="F1040" s="1531"/>
      <c r="G1040" s="1531"/>
      <c r="H1040" s="1531"/>
      <c r="I1040" s="1531"/>
      <c r="J1040" s="1531"/>
      <c r="K1040" s="1531"/>
      <c r="L1040" s="1531"/>
      <c r="M1040" s="1531"/>
      <c r="N1040" s="1531"/>
      <c r="O1040" s="1531"/>
      <c r="P1040" s="1531"/>
      <c r="Q1040" s="1531"/>
      <c r="R1040" s="1531"/>
      <c r="S1040" s="1531"/>
      <c r="T1040" s="1531"/>
      <c r="U1040" s="1531"/>
      <c r="V1040" s="1531"/>
      <c r="W1040" s="1531"/>
      <c r="X1040" s="1531"/>
      <c r="Y1040" s="1531"/>
      <c r="Z1040" s="1531"/>
      <c r="AA1040" s="1531"/>
      <c r="AB1040" s="1531"/>
      <c r="AC1040" s="1531"/>
      <c r="AD1040" s="1531"/>
      <c r="AE1040" s="1532"/>
      <c r="AF1040" s="79"/>
      <c r="AG1040" s="1538" t="s">
        <v>678</v>
      </c>
      <c r="AH1040" s="1539"/>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 customHeight="1">
      <c r="A1041" s="14"/>
      <c r="B1041" s="73"/>
      <c r="C1041" s="74"/>
      <c r="D1041" s="1518" t="s">
        <v>2503</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 customHeight="1">
      <c r="A1044" s="14"/>
      <c r="B1044" s="79"/>
      <c r="C1044" s="131" t="s">
        <v>1873</v>
      </c>
      <c r="D1044" s="1540" t="s">
        <v>2055</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96" t="str">
        <f>IF(X1047&gt;0,"Yes","No")</f>
        <v>Yes</v>
      </c>
      <c r="AH1044" s="1597"/>
      <c r="AI1044" s="87"/>
      <c r="AJ1044" s="1424">
        <f>IF((X1047=0),0,AY1004*AJ991)</f>
        <v>29768840.080000002</v>
      </c>
      <c r="AK1044" s="1425"/>
      <c r="AL1044" s="1425"/>
      <c r="AM1044" s="1425"/>
      <c r="AN1044" s="1425"/>
      <c r="AO1044" s="1425"/>
      <c r="AP1044" s="1425"/>
      <c r="AQ1044" s="1426"/>
      <c r="AR1044" s="68"/>
      <c r="AS1044" s="68"/>
      <c r="AT1044" s="68"/>
      <c r="AU1044" s="68"/>
      <c r="AV1044" s="68"/>
      <c r="AW1044" s="68"/>
      <c r="AX1044" s="68"/>
      <c r="AY1044" s="68"/>
    </row>
    <row r="1045" spans="1:51" ht="12.9" customHeight="1">
      <c r="A1045" s="14"/>
      <c r="B1045" s="73"/>
      <c r="C1045" s="476"/>
      <c r="D1045" s="1518" t="s">
        <v>1409</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617">
        <f>AY1002</f>
        <v>79</v>
      </c>
      <c r="J1047" s="1618"/>
      <c r="K1047" s="7"/>
      <c r="L1047" s="133"/>
      <c r="M1047" s="133"/>
      <c r="N1047" s="133"/>
      <c r="O1047" s="133"/>
      <c r="P1047" s="133"/>
      <c r="Q1047" s="133"/>
      <c r="R1047" s="133"/>
      <c r="S1047" s="133"/>
      <c r="T1047" s="133"/>
      <c r="U1047" s="133"/>
      <c r="V1047" s="134" t="s">
        <v>993</v>
      </c>
      <c r="W1047" s="48"/>
      <c r="X1047" s="1615">
        <f>BG632</f>
        <v>54</v>
      </c>
      <c r="Y1047" s="1616"/>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 customHeight="1">
      <c r="A1048" s="14"/>
      <c r="B1048" s="79"/>
      <c r="C1048" s="131" t="s">
        <v>1874</v>
      </c>
      <c r="D1048" s="1530" t="s">
        <v>2532</v>
      </c>
      <c r="E1048" s="1531"/>
      <c r="F1048" s="1531"/>
      <c r="G1048" s="1531"/>
      <c r="H1048" s="1531"/>
      <c r="I1048" s="1531"/>
      <c r="J1048" s="1531"/>
      <c r="K1048" s="1531"/>
      <c r="L1048" s="1531"/>
      <c r="M1048" s="1531"/>
      <c r="N1048" s="1531"/>
      <c r="O1048" s="1531"/>
      <c r="P1048" s="1531"/>
      <c r="Q1048" s="1531"/>
      <c r="R1048" s="1531"/>
      <c r="S1048" s="1531"/>
      <c r="T1048" s="1531"/>
      <c r="U1048" s="1531"/>
      <c r="V1048" s="1531"/>
      <c r="W1048" s="1531"/>
      <c r="X1048" s="1531"/>
      <c r="Y1048" s="1531"/>
      <c r="Z1048" s="1531"/>
      <c r="AA1048" s="1531"/>
      <c r="AB1048" s="1531"/>
      <c r="AC1048" s="1531"/>
      <c r="AD1048" s="1531"/>
      <c r="AE1048" s="1532"/>
      <c r="AF1048" s="73"/>
      <c r="AG1048" s="1596" t="str">
        <f>IF(X1051&gt;0,"Yes","No")</f>
        <v>Yes</v>
      </c>
      <c r="AH1048" s="1597"/>
      <c r="AI1048" s="83"/>
      <c r="AJ1048" s="1424">
        <f>IF((X1051=0),0,(2*AY1005)*AJ991)</f>
        <v>27142177.719999999</v>
      </c>
      <c r="AK1048" s="1425"/>
      <c r="AL1048" s="1425"/>
      <c r="AM1048" s="1425"/>
      <c r="AN1048" s="1425"/>
      <c r="AO1048" s="1425"/>
      <c r="AP1048" s="1425"/>
      <c r="AQ1048" s="1426"/>
      <c r="AR1048" s="68"/>
      <c r="AS1048" s="68"/>
      <c r="AT1048" s="68"/>
      <c r="AU1048" s="14"/>
      <c r="AV1048" s="68"/>
      <c r="AW1048" s="68"/>
      <c r="AX1048" s="68"/>
      <c r="AY1048" s="68"/>
    </row>
    <row r="1049" spans="1:51" ht="12.9" customHeight="1">
      <c r="A1049" s="14"/>
      <c r="B1049" s="73"/>
      <c r="C1049" s="476"/>
      <c r="D1049" s="1518" t="s">
        <v>1408</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617">
        <f>AY1002</f>
        <v>79</v>
      </c>
      <c r="J1051" s="1618"/>
      <c r="K1051" s="14"/>
      <c r="L1051" s="133"/>
      <c r="M1051" s="133"/>
      <c r="N1051" s="133"/>
      <c r="O1051" s="133"/>
      <c r="P1051" s="133"/>
      <c r="Q1051" s="133"/>
      <c r="R1051" s="133"/>
      <c r="S1051" s="133"/>
      <c r="T1051" s="133"/>
      <c r="U1051" s="133"/>
      <c r="V1051" s="134" t="s">
        <v>994</v>
      </c>
      <c r="X1051" s="1615">
        <f>BK632</f>
        <v>25</v>
      </c>
      <c r="Y1051" s="1616"/>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 customHeight="1">
      <c r="A1052" s="14"/>
      <c r="B1052" s="102"/>
      <c r="C1052" s="103"/>
      <c r="D1052" s="1613" t="s">
        <v>522</v>
      </c>
      <c r="E1052" s="1613"/>
      <c r="F1052" s="1613"/>
      <c r="G1052" s="1613"/>
      <c r="H1052" s="1613"/>
      <c r="I1052" s="1613"/>
      <c r="J1052" s="1613"/>
      <c r="K1052" s="1613"/>
      <c r="L1052" s="1613"/>
      <c r="M1052" s="1613"/>
      <c r="N1052" s="1613"/>
      <c r="O1052" s="1613"/>
      <c r="P1052" s="1613"/>
      <c r="Q1052" s="1613"/>
      <c r="R1052" s="1613"/>
      <c r="S1052" s="1613"/>
      <c r="T1052" s="1613"/>
      <c r="U1052" s="1613"/>
      <c r="V1052" s="1613"/>
      <c r="W1052" s="1613"/>
      <c r="X1052" s="1613"/>
      <c r="Y1052" s="1613"/>
      <c r="Z1052" s="1613"/>
      <c r="AA1052" s="1613"/>
      <c r="AB1052" s="1613"/>
      <c r="AC1052" s="1613"/>
      <c r="AD1052" s="1613"/>
      <c r="AE1052" s="1613"/>
      <c r="AF1052" s="1613"/>
      <c r="AG1052" s="1613"/>
      <c r="AH1052" s="1613"/>
      <c r="AI1052" s="1614"/>
      <c r="AJ1052" s="1588">
        <f>SUM(AJ991:AQ1051)</f>
        <v>114913552.8</v>
      </c>
      <c r="AK1052" s="1589"/>
      <c r="AL1052" s="1589"/>
      <c r="AM1052" s="1589"/>
      <c r="AN1052" s="1589"/>
      <c r="AO1052" s="1589"/>
      <c r="AP1052" s="1589"/>
      <c r="AQ1052" s="1590"/>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3" workbookViewId="0">
      <selection activeCell="E32" sqref="E32"/>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68" t="s">
        <v>630</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1)Citi Bank - Perm Mortgage</v>
      </c>
      <c r="G2" s="139" t="str">
        <f>Application!B628&amp;Application!C628</f>
        <v>2)City of Berkeley Measure O</v>
      </c>
      <c r="H2" s="139" t="str">
        <f>Application!B629&amp;Application!C629</f>
        <v>3)CA HCD MHP</v>
      </c>
      <c r="I2" s="139" t="str">
        <f>Application!B630&amp;Application!C630</f>
        <v>4)City of Berkeley HTF</v>
      </c>
      <c r="J2" s="139" t="str">
        <f>Application!B631&amp;Application!C631</f>
        <v>5)Deferred Developer Fee</v>
      </c>
      <c r="K2" s="139" t="str">
        <f>Application!B632&amp;Application!C632</f>
        <v xml:space="preserve">6)GP Equity </v>
      </c>
      <c r="L2" s="139" t="str">
        <f>Application!B633&amp;Application!C633</f>
        <v xml:space="preserve">7)GP Equity </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5715000</v>
      </c>
      <c r="C4" s="147">
        <f>[2]EVERYTHING!$I$31</f>
        <v>5715000</v>
      </c>
      <c r="D4" s="147">
        <f>[2]EVERYTHING!$J$31</f>
        <v>0</v>
      </c>
      <c r="E4" s="147">
        <f>B4-SUM(F4:Q4)</f>
        <v>0</v>
      </c>
      <c r="F4" s="147"/>
      <c r="G4" s="147">
        <f>C4</f>
        <v>5715000</v>
      </c>
      <c r="H4" s="147"/>
      <c r="I4" s="147"/>
      <c r="J4" s="147"/>
      <c r="K4" s="147"/>
      <c r="L4" s="147"/>
      <c r="M4" s="147"/>
      <c r="N4" s="147"/>
      <c r="O4" s="147"/>
      <c r="P4" s="147"/>
      <c r="Q4" s="147"/>
      <c r="R4" s="550">
        <f>SUM(E4:Q4)</f>
        <v>5715000</v>
      </c>
      <c r="S4" s="148"/>
      <c r="T4" s="148"/>
      <c r="U4" s="143"/>
    </row>
    <row r="5" spans="1:21" s="144" customFormat="1">
      <c r="A5" s="145" t="s">
        <v>28</v>
      </c>
      <c r="B5" s="146">
        <f>SUM(C5+D5)</f>
        <v>210290.00000000003</v>
      </c>
      <c r="C5" s="147">
        <f>[2]EVERYTHING!$I$37+[2]EVERYTHING!$I$32</f>
        <v>204423.93851008028</v>
      </c>
      <c r="D5" s="147">
        <f>[2]EVERYTHING!$J$32+[2]EVERYTHING!$J$37</f>
        <v>5866.0614899197408</v>
      </c>
      <c r="E5" s="147">
        <f t="shared" ref="E5:E7" si="0">B5-SUM(F5:Q5)</f>
        <v>210290.00000000003</v>
      </c>
      <c r="F5" s="147"/>
      <c r="G5" s="147"/>
      <c r="H5" s="147"/>
      <c r="I5" s="147"/>
      <c r="J5" s="147"/>
      <c r="K5" s="147"/>
      <c r="L5" s="147"/>
      <c r="M5" s="147"/>
      <c r="N5" s="147"/>
      <c r="O5" s="147"/>
      <c r="P5" s="147"/>
      <c r="Q5" s="147"/>
      <c r="R5" s="550">
        <f>SUM(E5:Q5)</f>
        <v>210290.00000000003</v>
      </c>
      <c r="S5" s="148"/>
      <c r="T5" s="148"/>
      <c r="U5" s="143"/>
    </row>
    <row r="6" spans="1:21" s="144" customFormat="1">
      <c r="A6" s="145" t="s">
        <v>29</v>
      </c>
      <c r="B6" s="146">
        <f>SUM(C6+D6)</f>
        <v>162000</v>
      </c>
      <c r="C6" s="147">
        <f>[2]EVERYTHING!$I$34</f>
        <v>157480.99309825955</v>
      </c>
      <c r="D6" s="147">
        <f>[2]EVERYTHING!$J$34</f>
        <v>4519.0069017404448</v>
      </c>
      <c r="E6" s="147">
        <f t="shared" si="0"/>
        <v>162000</v>
      </c>
      <c r="F6" s="147"/>
      <c r="G6" s="147"/>
      <c r="H6" s="147"/>
      <c r="I6" s="147"/>
      <c r="J6" s="147"/>
      <c r="K6" s="147"/>
      <c r="L6" s="147"/>
      <c r="M6" s="147"/>
      <c r="N6" s="147"/>
      <c r="O6" s="147"/>
      <c r="P6" s="147"/>
      <c r="Q6" s="147"/>
      <c r="R6" s="550">
        <f>SUM(E6:Q6)</f>
        <v>162000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6087290</v>
      </c>
      <c r="C8" s="146">
        <f t="shared" ref="C8:Q8" si="1">SUM(C4:C7)</f>
        <v>6076904.9316083398</v>
      </c>
      <c r="D8" s="146">
        <f t="shared" si="1"/>
        <v>10385.068391660185</v>
      </c>
      <c r="E8" s="146">
        <f t="shared" si="1"/>
        <v>372290</v>
      </c>
      <c r="F8" s="146">
        <f t="shared" si="1"/>
        <v>0</v>
      </c>
      <c r="G8" s="146">
        <f t="shared" si="1"/>
        <v>5715000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6087290</v>
      </c>
      <c r="S8" s="148"/>
      <c r="T8" s="148"/>
      <c r="U8" s="143"/>
    </row>
    <row r="9" spans="1:21" s="144" customFormat="1">
      <c r="A9" s="145" t="s">
        <v>603</v>
      </c>
      <c r="B9" s="146">
        <f>SUM(C9+D9)</f>
        <v>0</v>
      </c>
      <c r="C9" s="147"/>
      <c r="D9" s="147"/>
      <c r="E9" s="147">
        <f t="shared" ref="E9:E10" si="2">B9-SUM(F9:Q9)</f>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486400</v>
      </c>
      <c r="C10" s="147">
        <f>[2]EVERYTHING!$I$38</f>
        <v>486400</v>
      </c>
      <c r="D10" s="147">
        <f>[2]EVERYTHING!$J$38</f>
        <v>0</v>
      </c>
      <c r="E10" s="147">
        <f t="shared" si="2"/>
        <v>486400</v>
      </c>
      <c r="F10" s="147"/>
      <c r="G10" s="147"/>
      <c r="H10" s="147"/>
      <c r="I10" s="147"/>
      <c r="J10" s="147"/>
      <c r="K10" s="147"/>
      <c r="L10" s="147"/>
      <c r="M10" s="147"/>
      <c r="N10" s="147"/>
      <c r="O10" s="147"/>
      <c r="P10" s="147"/>
      <c r="Q10" s="147"/>
      <c r="R10" s="550">
        <f>SUM(E10:Q10)</f>
        <v>486400</v>
      </c>
      <c r="S10" s="147">
        <f>[1]EVERYTHING!$K$38</f>
        <v>486400</v>
      </c>
      <c r="T10" s="147"/>
      <c r="U10" s="143"/>
    </row>
    <row r="11" spans="1:21" s="144" customFormat="1" ht="12">
      <c r="A11" s="149" t="s">
        <v>605</v>
      </c>
      <c r="B11" s="146">
        <f>SUM(C11:D11)</f>
        <v>486400</v>
      </c>
      <c r="C11" s="146">
        <f t="shared" ref="C11:Q11" si="3">SUM(C9:C10)</f>
        <v>486400</v>
      </c>
      <c r="D11" s="146">
        <f t="shared" si="3"/>
        <v>0</v>
      </c>
      <c r="E11" s="146">
        <f t="shared" si="3"/>
        <v>486400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486400</v>
      </c>
      <c r="S11" s="148"/>
      <c r="T11" s="150">
        <f>SUM(T9:T10)</f>
        <v>0</v>
      </c>
      <c r="U11" s="143"/>
    </row>
    <row r="12" spans="1:21" s="144" customFormat="1" ht="12">
      <c r="A12" s="149" t="s">
        <v>84</v>
      </c>
      <c r="B12" s="146">
        <f t="shared" ref="B12:Q12" si="4">SUM(B8+B11)</f>
        <v>6573690</v>
      </c>
      <c r="C12" s="146">
        <f t="shared" si="4"/>
        <v>6563304.9316083398</v>
      </c>
      <c r="D12" s="146">
        <f t="shared" si="4"/>
        <v>10385.068391660185</v>
      </c>
      <c r="E12" s="146">
        <f t="shared" si="4"/>
        <v>858690</v>
      </c>
      <c r="F12" s="146">
        <f t="shared" si="4"/>
        <v>0</v>
      </c>
      <c r="G12" s="146">
        <f t="shared" si="4"/>
        <v>5715000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6573690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5">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5"/>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5"/>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50">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50">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50">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50">
        <f t="shared" si="6"/>
        <v>0</v>
      </c>
      <c r="S23" s="147"/>
      <c r="T23" s="147"/>
      <c r="U23" s="143"/>
    </row>
    <row r="24" spans="1:21" s="144" customFormat="1">
      <c r="A24" s="542" t="s">
        <v>1752</v>
      </c>
      <c r="B24" s="146">
        <f t="shared" si="5"/>
        <v>0</v>
      </c>
      <c r="C24" s="147"/>
      <c r="D24" s="147"/>
      <c r="E24" s="147"/>
      <c r="F24" s="147"/>
      <c r="G24" s="147"/>
      <c r="H24" s="147"/>
      <c r="I24" s="147"/>
      <c r="J24" s="147"/>
      <c r="K24" s="147"/>
      <c r="L24" s="147"/>
      <c r="M24" s="147"/>
      <c r="N24" s="147"/>
      <c r="O24" s="147"/>
      <c r="P24" s="147"/>
      <c r="Q24" s="147"/>
      <c r="R24" s="550">
        <f t="shared" si="6"/>
        <v>0</v>
      </c>
      <c r="S24" s="147"/>
      <c r="T24" s="147"/>
      <c r="U24" s="143"/>
    </row>
    <row r="25" spans="1:21" s="144" customFormat="1">
      <c r="A25" s="1193" t="s">
        <v>34</v>
      </c>
      <c r="B25" s="146">
        <f t="shared" si="5"/>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ht="12">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880827.85740740737</v>
      </c>
      <c r="C29" s="147">
        <f>[2]EVERYTHING!$I$41</f>
        <v>880827.85740740737</v>
      </c>
      <c r="D29" s="147">
        <f>[2]EVERYTHING!$J$41</f>
        <v>0</v>
      </c>
      <c r="E29" s="147">
        <f t="shared" ref="E29:E37" si="9">B29-SUM(F29:Q29)</f>
        <v>880827.85740740737</v>
      </c>
      <c r="F29" s="147"/>
      <c r="G29" s="147"/>
      <c r="H29" s="147"/>
      <c r="I29" s="147"/>
      <c r="J29" s="147"/>
      <c r="K29" s="147"/>
      <c r="L29" s="147"/>
      <c r="M29" s="147"/>
      <c r="N29" s="147"/>
      <c r="O29" s="147"/>
      <c r="P29" s="147"/>
      <c r="Q29" s="147"/>
      <c r="R29" s="550">
        <f t="shared" ref="R29:R37" si="10">SUM(E29:Q29)</f>
        <v>880827.85740740737</v>
      </c>
      <c r="S29" s="147">
        <f>C29</f>
        <v>880827.85740740737</v>
      </c>
      <c r="T29" s="147"/>
      <c r="U29" s="143"/>
    </row>
    <row r="30" spans="1:21" s="144" customFormat="1">
      <c r="A30" s="145" t="s">
        <v>608</v>
      </c>
      <c r="B30" s="146">
        <f t="shared" si="8"/>
        <v>38953154.020870268</v>
      </c>
      <c r="C30" s="147">
        <f>[2]EVERYTHING!$I$42+[2]EVERYTHING!$I$43+[2]EVERYTHING!$I$44</f>
        <v>37694779.200387418</v>
      </c>
      <c r="D30" s="147">
        <f>[2]EVERYTHING!$J$42+[2]EVERYTHING!$J$43+[2]EVERYTHING!$J$44</f>
        <v>1258374.8204828517</v>
      </c>
      <c r="E30" s="147">
        <f t="shared" si="9"/>
        <v>1839232.6699690148</v>
      </c>
      <c r="F30" s="147">
        <f>[3]Application!AO627-F31</f>
        <v>3297621.26</v>
      </c>
      <c r="G30" s="147">
        <f>[3]Application!AO628-G4</f>
        <v>8816301</v>
      </c>
      <c r="H30" s="147">
        <f>[3]Application!AO629</f>
        <v>18718944.416281417</v>
      </c>
      <c r="I30" s="147">
        <f>[3]Application!AO630</f>
        <v>3556400</v>
      </c>
      <c r="J30" s="147"/>
      <c r="K30" s="147">
        <f>[3]Application!AO632</f>
        <v>1000000</v>
      </c>
      <c r="L30" s="147">
        <f>Application!AO633</f>
        <v>1724654.6746198384</v>
      </c>
      <c r="M30" s="147"/>
      <c r="N30" s="147"/>
      <c r="O30" s="147"/>
      <c r="P30" s="147"/>
      <c r="Q30" s="147"/>
      <c r="R30" s="550">
        <f t="shared" si="10"/>
        <v>38953154.020870268</v>
      </c>
      <c r="S30" s="147">
        <f t="shared" ref="S30:S37" si="11">C30</f>
        <v>37694779.200387418</v>
      </c>
      <c r="T30" s="147"/>
      <c r="U30" s="143"/>
    </row>
    <row r="31" spans="1:21" s="144" customFormat="1">
      <c r="A31" s="145" t="s">
        <v>609</v>
      </c>
      <c r="B31" s="146">
        <f t="shared" si="8"/>
        <v>2082378.7400000002</v>
      </c>
      <c r="C31" s="147">
        <f>[2]EVERYTHING!$I$45</f>
        <v>2024290.7400000002</v>
      </c>
      <c r="D31" s="147">
        <f>[2]EVERYTHING!$J$45</f>
        <v>58088</v>
      </c>
      <c r="E31" s="147">
        <f t="shared" si="9"/>
        <v>0</v>
      </c>
      <c r="F31" s="147">
        <f>B31</f>
        <v>2082378.7400000002</v>
      </c>
      <c r="G31" s="147"/>
      <c r="H31" s="147"/>
      <c r="I31" s="147"/>
      <c r="J31" s="147"/>
      <c r="K31" s="147"/>
      <c r="L31" s="147"/>
      <c r="M31" s="147"/>
      <c r="N31" s="147"/>
      <c r="O31" s="147"/>
      <c r="P31" s="147"/>
      <c r="Q31" s="147"/>
      <c r="R31" s="550">
        <f t="shared" si="10"/>
        <v>2082378.7400000002</v>
      </c>
      <c r="S31" s="147">
        <f t="shared" si="11"/>
        <v>2024290.7400000002</v>
      </c>
      <c r="T31" s="147"/>
      <c r="U31" s="143"/>
    </row>
    <row r="32" spans="1:21" s="144" customFormat="1">
      <c r="A32" s="145" t="s">
        <v>137</v>
      </c>
      <c r="B32" s="146">
        <f t="shared" si="8"/>
        <v>725514.30718108511</v>
      </c>
      <c r="C32" s="147">
        <f>[2]EVERYTHING!$I$47/2</f>
        <v>724333.92649180512</v>
      </c>
      <c r="D32" s="147">
        <f>[2]EVERYTHING!$J$47/2</f>
        <v>1180.3806892800001</v>
      </c>
      <c r="E32" s="147">
        <f t="shared" si="9"/>
        <v>725514.30718108511</v>
      </c>
      <c r="F32" s="147"/>
      <c r="G32" s="147"/>
      <c r="H32" s="147"/>
      <c r="I32" s="147"/>
      <c r="J32" s="147"/>
      <c r="K32" s="147"/>
      <c r="L32" s="147"/>
      <c r="M32" s="147"/>
      <c r="N32" s="147"/>
      <c r="O32" s="147"/>
      <c r="P32" s="147"/>
      <c r="Q32" s="147"/>
      <c r="R32" s="550">
        <f t="shared" si="10"/>
        <v>725514.30718108511</v>
      </c>
      <c r="S32" s="147">
        <f t="shared" si="11"/>
        <v>724333.92649180512</v>
      </c>
      <c r="T32" s="147"/>
      <c r="U32" s="143"/>
    </row>
    <row r="33" spans="1:21" s="144" customFormat="1">
      <c r="A33" s="145" t="s">
        <v>138</v>
      </c>
      <c r="B33" s="146">
        <f t="shared" si="8"/>
        <v>725514.30718108511</v>
      </c>
      <c r="C33" s="147">
        <f>C32</f>
        <v>724333.92649180512</v>
      </c>
      <c r="D33" s="147">
        <f>D32</f>
        <v>1180.3806892800001</v>
      </c>
      <c r="E33" s="147">
        <f t="shared" si="9"/>
        <v>725514.30718108511</v>
      </c>
      <c r="F33" s="147"/>
      <c r="G33" s="147"/>
      <c r="H33" s="147"/>
      <c r="I33" s="147"/>
      <c r="J33" s="147"/>
      <c r="K33" s="147"/>
      <c r="L33" s="147"/>
      <c r="M33" s="147"/>
      <c r="N33" s="147"/>
      <c r="O33" s="147"/>
      <c r="P33" s="147"/>
      <c r="Q33" s="147"/>
      <c r="R33" s="550">
        <f t="shared" si="10"/>
        <v>725514.30718108511</v>
      </c>
      <c r="S33" s="147">
        <f t="shared" si="11"/>
        <v>724333.92649180512</v>
      </c>
      <c r="T33" s="147"/>
      <c r="U33" s="143"/>
    </row>
    <row r="34" spans="1:21" s="144" customFormat="1">
      <c r="A34" s="145" t="s">
        <v>139</v>
      </c>
      <c r="B34" s="146">
        <f t="shared" si="8"/>
        <v>0</v>
      </c>
      <c r="C34" s="147"/>
      <c r="D34" s="147"/>
      <c r="E34" s="147">
        <f t="shared" si="9"/>
        <v>0</v>
      </c>
      <c r="F34" s="147"/>
      <c r="G34" s="147"/>
      <c r="H34" s="147"/>
      <c r="I34" s="147"/>
      <c r="J34" s="147"/>
      <c r="K34" s="147"/>
      <c r="L34" s="147"/>
      <c r="M34" s="147"/>
      <c r="N34" s="147"/>
      <c r="O34" s="147"/>
      <c r="P34" s="147"/>
      <c r="Q34" s="147"/>
      <c r="R34" s="550">
        <f t="shared" si="10"/>
        <v>0</v>
      </c>
      <c r="S34" s="147">
        <f t="shared" si="11"/>
        <v>0</v>
      </c>
      <c r="T34" s="147"/>
      <c r="U34" s="143"/>
    </row>
    <row r="35" spans="1:21" s="144" customFormat="1">
      <c r="A35" s="145" t="s">
        <v>140</v>
      </c>
      <c r="B35" s="146">
        <f t="shared" si="8"/>
        <v>727208.60489252955</v>
      </c>
      <c r="C35" s="147">
        <f>[2]EVERYTHING!$I$46</f>
        <v>726025.46765347419</v>
      </c>
      <c r="D35" s="147">
        <f>[2]EVERYTHING!$J$46</f>
        <v>1183.1372390553599</v>
      </c>
      <c r="E35" s="147">
        <f t="shared" si="9"/>
        <v>727208.60489252955</v>
      </c>
      <c r="F35" s="147"/>
      <c r="G35" s="147"/>
      <c r="H35" s="147"/>
      <c r="I35" s="147"/>
      <c r="J35" s="147"/>
      <c r="K35" s="147"/>
      <c r="L35" s="147"/>
      <c r="M35" s="147"/>
      <c r="N35" s="147"/>
      <c r="O35" s="147"/>
      <c r="P35" s="147"/>
      <c r="Q35" s="147"/>
      <c r="R35" s="550">
        <f t="shared" si="10"/>
        <v>727208.60489252955</v>
      </c>
      <c r="S35" s="147">
        <f t="shared" si="11"/>
        <v>726025.46765347419</v>
      </c>
      <c r="T35" s="147"/>
      <c r="U35" s="143"/>
    </row>
    <row r="36" spans="1:21" s="144" customFormat="1">
      <c r="A36" s="304" t="s">
        <v>1752</v>
      </c>
      <c r="B36" s="146">
        <f t="shared" si="8"/>
        <v>200000</v>
      </c>
      <c r="C36" s="147">
        <f>[2]EVERYTHING!$I$86</f>
        <v>194420.97913365377</v>
      </c>
      <c r="D36" s="147">
        <f>[2]EVERYTHING!$J$86</f>
        <v>5579.0208663462281</v>
      </c>
      <c r="E36" s="147">
        <f t="shared" si="9"/>
        <v>200000</v>
      </c>
      <c r="F36" s="147"/>
      <c r="G36" s="147"/>
      <c r="H36" s="147"/>
      <c r="I36" s="147"/>
      <c r="J36" s="147"/>
      <c r="K36" s="147"/>
      <c r="L36" s="147"/>
      <c r="M36" s="147"/>
      <c r="N36" s="147"/>
      <c r="O36" s="147"/>
      <c r="P36" s="147"/>
      <c r="Q36" s="147"/>
      <c r="R36" s="550">
        <f t="shared" si="10"/>
        <v>200000</v>
      </c>
      <c r="S36" s="147">
        <f t="shared" si="11"/>
        <v>194420.97913365377</v>
      </c>
      <c r="T36" s="147"/>
      <c r="U36" s="143"/>
    </row>
    <row r="37" spans="1:21" s="144" customFormat="1">
      <c r="A37" s="1193" t="s">
        <v>34</v>
      </c>
      <c r="B37" s="146">
        <f t="shared" si="8"/>
        <v>0</v>
      </c>
      <c r="C37" s="147"/>
      <c r="D37" s="147"/>
      <c r="E37" s="147">
        <f t="shared" si="9"/>
        <v>0</v>
      </c>
      <c r="F37" s="147"/>
      <c r="G37" s="147"/>
      <c r="H37" s="147"/>
      <c r="I37" s="147"/>
      <c r="J37" s="147"/>
      <c r="K37" s="147"/>
      <c r="L37" s="147"/>
      <c r="M37" s="147"/>
      <c r="N37" s="147"/>
      <c r="O37" s="147"/>
      <c r="P37" s="147"/>
      <c r="Q37" s="147"/>
      <c r="R37" s="550">
        <f t="shared" si="10"/>
        <v>0</v>
      </c>
      <c r="S37" s="147">
        <f t="shared" si="11"/>
        <v>0</v>
      </c>
      <c r="T37" s="147"/>
      <c r="U37" s="143"/>
    </row>
    <row r="38" spans="1:21" s="144" customFormat="1" ht="12">
      <c r="A38" s="149" t="s">
        <v>143</v>
      </c>
      <c r="B38" s="146">
        <f t="shared" si="8"/>
        <v>44294597.837532379</v>
      </c>
      <c r="C38" s="146">
        <f>SUM(C29:C37)</f>
        <v>42969012.097565562</v>
      </c>
      <c r="D38" s="146">
        <f t="shared" ref="D38:Q38" si="12">SUM(D29:D37)</f>
        <v>1325585.7399668137</v>
      </c>
      <c r="E38" s="146">
        <f t="shared" si="12"/>
        <v>5098297.7466311213</v>
      </c>
      <c r="F38" s="146">
        <f t="shared" si="12"/>
        <v>5380000</v>
      </c>
      <c r="G38" s="146">
        <f t="shared" si="12"/>
        <v>8816301</v>
      </c>
      <c r="H38" s="146">
        <f t="shared" si="12"/>
        <v>18718944.416281417</v>
      </c>
      <c r="I38" s="146">
        <f t="shared" si="12"/>
        <v>3556400</v>
      </c>
      <c r="J38" s="146">
        <f t="shared" si="12"/>
        <v>0</v>
      </c>
      <c r="K38" s="146">
        <f t="shared" si="12"/>
        <v>1000000</v>
      </c>
      <c r="L38" s="146">
        <f t="shared" si="12"/>
        <v>1724654.6746198384</v>
      </c>
      <c r="M38" s="146">
        <f t="shared" si="12"/>
        <v>0</v>
      </c>
      <c r="N38" s="146">
        <f t="shared" si="12"/>
        <v>0</v>
      </c>
      <c r="O38" s="146">
        <f t="shared" si="12"/>
        <v>0</v>
      </c>
      <c r="P38" s="146">
        <f t="shared" si="12"/>
        <v>0</v>
      </c>
      <c r="Q38" s="146">
        <f t="shared" si="12"/>
        <v>0</v>
      </c>
      <c r="R38" s="370">
        <f>SUM(R29:R37)</f>
        <v>44294597.837532371</v>
      </c>
      <c r="S38" s="150">
        <f>SUM(S29:S37)</f>
        <v>42969012.097565562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1816894.6470359999</v>
      </c>
      <c r="C40" s="147">
        <f>[2]EVERYTHING!$I$50</f>
        <v>1766212.181297167</v>
      </c>
      <c r="D40" s="147">
        <f>[2]EVERYTHING!$J$50</f>
        <v>50682.465738833038</v>
      </c>
      <c r="E40" s="147">
        <f t="shared" ref="E40:E41" si="13">B40-SUM(F40:Q40)</f>
        <v>1816894.6470359999</v>
      </c>
      <c r="F40" s="147"/>
      <c r="G40" s="147"/>
      <c r="H40" s="147"/>
      <c r="I40" s="147"/>
      <c r="J40" s="147"/>
      <c r="K40" s="147"/>
      <c r="L40" s="147"/>
      <c r="M40" s="147"/>
      <c r="N40" s="147"/>
      <c r="O40" s="147"/>
      <c r="P40" s="147"/>
      <c r="Q40" s="147"/>
      <c r="R40" s="550">
        <f>SUM(E40:Q40)</f>
        <v>1816894.6470359999</v>
      </c>
      <c r="S40" s="147">
        <f>C40</f>
        <v>1766212.181297167</v>
      </c>
      <c r="T40" s="147"/>
      <c r="U40" s="143"/>
    </row>
    <row r="41" spans="1:21" s="144" customFormat="1">
      <c r="A41" s="145" t="s">
        <v>146</v>
      </c>
      <c r="B41" s="146">
        <f>SUM(C41+D41)</f>
        <v>0</v>
      </c>
      <c r="C41" s="147"/>
      <c r="D41" s="147"/>
      <c r="E41" s="147">
        <f t="shared" si="13"/>
        <v>0</v>
      </c>
      <c r="F41" s="147"/>
      <c r="G41" s="147"/>
      <c r="H41" s="147"/>
      <c r="I41" s="147"/>
      <c r="J41" s="147"/>
      <c r="K41" s="147"/>
      <c r="L41" s="147"/>
      <c r="M41" s="147"/>
      <c r="N41" s="147"/>
      <c r="O41" s="147"/>
      <c r="P41" s="147"/>
      <c r="Q41" s="147"/>
      <c r="R41" s="550">
        <f>SUM(E41:Q41)</f>
        <v>0</v>
      </c>
      <c r="S41" s="147">
        <f>C41</f>
        <v>0</v>
      </c>
      <c r="T41" s="147"/>
      <c r="U41" s="143"/>
    </row>
    <row r="42" spans="1:21" s="144" customFormat="1" ht="12">
      <c r="A42" s="149" t="s">
        <v>147</v>
      </c>
      <c r="B42" s="146">
        <f>SUM(C42:D42)</f>
        <v>1816894.6470359999</v>
      </c>
      <c r="C42" s="146">
        <f>SUM(C39:C41)</f>
        <v>1766212.181297167</v>
      </c>
      <c r="D42" s="146">
        <f>SUM(D39:D41)</f>
        <v>50682.465738833038</v>
      </c>
      <c r="E42" s="146">
        <f t="shared" ref="E42:T42" si="14">SUM(E40:E41)</f>
        <v>1816894.6470359999</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70">
        <f>SUM(R40:R41)</f>
        <v>1816894.6470359999</v>
      </c>
      <c r="S42" s="150">
        <f t="shared" si="14"/>
        <v>1766212.181297167</v>
      </c>
      <c r="T42" s="150">
        <f t="shared" si="14"/>
        <v>0</v>
      </c>
      <c r="U42" s="143"/>
    </row>
    <row r="43" spans="1:21" s="144" customFormat="1" ht="12">
      <c r="A43" s="149" t="s">
        <v>148</v>
      </c>
      <c r="B43" s="146">
        <f>SUM(C43:D43)</f>
        <v>512250</v>
      </c>
      <c r="C43" s="147">
        <f>[2]EVERYTHING!$I$53</f>
        <v>509862.62054306082</v>
      </c>
      <c r="D43" s="147">
        <f>[2]EVERYTHING!$J$53</f>
        <v>2387.3794569391475</v>
      </c>
      <c r="E43" s="147">
        <f t="shared" ref="E43" si="15">B43-SUM(F43:Q43)</f>
        <v>512250</v>
      </c>
      <c r="F43" s="147"/>
      <c r="G43" s="147"/>
      <c r="H43" s="147"/>
      <c r="I43" s="147"/>
      <c r="J43" s="147"/>
      <c r="K43" s="147"/>
      <c r="L43" s="147"/>
      <c r="M43" s="147"/>
      <c r="N43" s="147"/>
      <c r="O43" s="147"/>
      <c r="P43" s="147"/>
      <c r="Q43" s="147"/>
      <c r="R43" s="550">
        <f>SUM(E43:Q43)</f>
        <v>512250</v>
      </c>
      <c r="S43" s="147">
        <f>C43</f>
        <v>509862.62054306082</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5564674.6321155317</v>
      </c>
      <c r="C45" s="147">
        <f>[2]EVERYTHING!$I$55</f>
        <v>5564674.6321155317</v>
      </c>
      <c r="D45" s="147">
        <f>[2]EVERYTHING!$J$55</f>
        <v>0</v>
      </c>
      <c r="E45" s="147">
        <f t="shared" ref="E45:E53" si="17">B45-SUM(F45:Q45)</f>
        <v>5564674.6321155317</v>
      </c>
      <c r="F45" s="147"/>
      <c r="G45" s="147"/>
      <c r="H45" s="147"/>
      <c r="I45" s="147"/>
      <c r="J45" s="147"/>
      <c r="K45" s="147"/>
      <c r="L45" s="147"/>
      <c r="M45" s="147"/>
      <c r="N45" s="147"/>
      <c r="O45" s="147"/>
      <c r="P45" s="147"/>
      <c r="Q45" s="147"/>
      <c r="R45" s="550">
        <f t="shared" ref="R45:R53" si="18">SUM(E45:Q45)</f>
        <v>5564674.6321155317</v>
      </c>
      <c r="S45" s="147">
        <f>[2]EVERYTHING!$K$55</f>
        <v>2991817.3062311322</v>
      </c>
      <c r="T45" s="147"/>
      <c r="U45" s="143"/>
    </row>
    <row r="46" spans="1:21" s="144" customFormat="1">
      <c r="A46" s="145" t="s">
        <v>151</v>
      </c>
      <c r="B46" s="146">
        <f t="shared" si="16"/>
        <v>399016.91612211056</v>
      </c>
      <c r="C46" s="147">
        <f>[2]EVERYTHING!$I$57</f>
        <v>399016.91612211056</v>
      </c>
      <c r="D46" s="147">
        <f>[2]EVERYTHING!$J$57</f>
        <v>0</v>
      </c>
      <c r="E46" s="147">
        <f t="shared" si="17"/>
        <v>399016.91612211056</v>
      </c>
      <c r="F46" s="147"/>
      <c r="G46" s="147"/>
      <c r="H46" s="147"/>
      <c r="I46" s="147"/>
      <c r="J46" s="147"/>
      <c r="K46" s="147"/>
      <c r="L46" s="147"/>
      <c r="M46" s="147"/>
      <c r="N46" s="147"/>
      <c r="O46" s="147"/>
      <c r="P46" s="147"/>
      <c r="Q46" s="147"/>
      <c r="R46" s="550">
        <f t="shared" si="18"/>
        <v>399016.91612211056</v>
      </c>
      <c r="S46" s="147">
        <f>[2]EVERYTHING!$K$57</f>
        <v>276242.48039223038</v>
      </c>
      <c r="T46" s="147"/>
      <c r="U46" s="143"/>
    </row>
    <row r="47" spans="1:21" s="144" customFormat="1">
      <c r="A47" s="198" t="s">
        <v>152</v>
      </c>
      <c r="B47" s="146">
        <f t="shared" si="16"/>
        <v>0</v>
      </c>
      <c r="C47" s="147"/>
      <c r="D47" s="147"/>
      <c r="E47" s="147">
        <f t="shared" si="17"/>
        <v>0</v>
      </c>
      <c r="F47" s="147"/>
      <c r="G47" s="147"/>
      <c r="H47" s="147"/>
      <c r="I47" s="147"/>
      <c r="J47" s="147"/>
      <c r="K47" s="147"/>
      <c r="L47" s="147"/>
      <c r="M47" s="147"/>
      <c r="N47" s="147"/>
      <c r="O47" s="147"/>
      <c r="P47" s="147"/>
      <c r="Q47" s="147"/>
      <c r="R47" s="550">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50">
        <f t="shared" si="18"/>
        <v>0</v>
      </c>
      <c r="S48" s="147"/>
      <c r="T48" s="147"/>
      <c r="U48" s="143"/>
    </row>
    <row r="49" spans="1:21" s="144" customFormat="1">
      <c r="A49" s="145" t="s">
        <v>57</v>
      </c>
      <c r="B49" s="146">
        <f t="shared" si="16"/>
        <v>232457.61225494975</v>
      </c>
      <c r="C49" s="147">
        <f>[2]EVERYTHING!$I$65</f>
        <v>232457.61225494975</v>
      </c>
      <c r="D49" s="147">
        <f>[2]EVERYTHING!$J$65</f>
        <v>0</v>
      </c>
      <c r="E49" s="147">
        <f t="shared" si="17"/>
        <v>232457.61225494975</v>
      </c>
      <c r="F49" s="147"/>
      <c r="G49" s="147"/>
      <c r="H49" s="147"/>
      <c r="I49" s="147"/>
      <c r="J49" s="147"/>
      <c r="K49" s="147"/>
      <c r="L49" s="147"/>
      <c r="M49" s="147"/>
      <c r="N49" s="147"/>
      <c r="O49" s="147"/>
      <c r="P49" s="147"/>
      <c r="Q49" s="147"/>
      <c r="R49" s="550">
        <f t="shared" si="18"/>
        <v>232457.61225494975</v>
      </c>
      <c r="S49" s="147">
        <f>[2]EVERYTHING!$K$65</f>
        <v>160932.19309958059</v>
      </c>
      <c r="T49" s="147"/>
      <c r="U49" s="143"/>
    </row>
    <row r="50" spans="1:21" s="144" customFormat="1">
      <c r="A50" s="145" t="s">
        <v>156</v>
      </c>
      <c r="B50" s="146">
        <f t="shared" si="16"/>
        <v>80000</v>
      </c>
      <c r="C50" s="147">
        <f>[2]EVERYTHING!$I$61</f>
        <v>77768.391653461513</v>
      </c>
      <c r="D50" s="147">
        <f>[2]EVERYTHING!$J$61</f>
        <v>2231.6083465384913</v>
      </c>
      <c r="E50" s="147">
        <f t="shared" si="17"/>
        <v>80000</v>
      </c>
      <c r="F50" s="147"/>
      <c r="G50" s="147"/>
      <c r="H50" s="147"/>
      <c r="I50" s="147"/>
      <c r="J50" s="147"/>
      <c r="K50" s="147"/>
      <c r="L50" s="147"/>
      <c r="M50" s="147"/>
      <c r="N50" s="147"/>
      <c r="O50" s="147"/>
      <c r="P50" s="147"/>
      <c r="Q50" s="147"/>
      <c r="R50" s="550">
        <f t="shared" si="18"/>
        <v>80000</v>
      </c>
      <c r="S50" s="147">
        <f>C50</f>
        <v>77768.391653461513</v>
      </c>
      <c r="T50" s="147"/>
      <c r="U50" s="143"/>
    </row>
    <row r="51" spans="1:21" s="144" customFormat="1">
      <c r="A51" s="304" t="s">
        <v>154</v>
      </c>
      <c r="B51" s="146">
        <f t="shared" si="16"/>
        <v>8000</v>
      </c>
      <c r="C51" s="147">
        <f>[2]EVERYTHING!$I$59</f>
        <v>7776.8391653461513</v>
      </c>
      <c r="D51" s="147">
        <f>[2]EVERYTHING!$J$59</f>
        <v>223.16083465384912</v>
      </c>
      <c r="E51" s="147">
        <f t="shared" si="17"/>
        <v>8000</v>
      </c>
      <c r="F51" s="147"/>
      <c r="G51" s="147"/>
      <c r="H51" s="147"/>
      <c r="I51" s="147"/>
      <c r="J51" s="147"/>
      <c r="K51" s="147"/>
      <c r="L51" s="147"/>
      <c r="M51" s="147"/>
      <c r="N51" s="147"/>
      <c r="O51" s="147"/>
      <c r="P51" s="147"/>
      <c r="Q51" s="147"/>
      <c r="R51" s="550">
        <f t="shared" si="18"/>
        <v>8000</v>
      </c>
      <c r="S51" s="147">
        <f>C51</f>
        <v>7776.8391653461513</v>
      </c>
      <c r="T51" s="147"/>
      <c r="U51" s="143"/>
    </row>
    <row r="52" spans="1:21" s="144" customFormat="1">
      <c r="A52" s="145" t="s">
        <v>155</v>
      </c>
      <c r="B52" s="146">
        <f t="shared" si="16"/>
        <v>1500000</v>
      </c>
      <c r="C52" s="147">
        <f>[2]EVERYTHING!$I$60</f>
        <v>1458157.3435024032</v>
      </c>
      <c r="D52" s="147">
        <f>[2]EVERYTHING!$J$60</f>
        <v>41842.656497596712</v>
      </c>
      <c r="E52" s="147">
        <f t="shared" si="17"/>
        <v>1500000</v>
      </c>
      <c r="F52" s="147"/>
      <c r="G52" s="147"/>
      <c r="H52" s="147"/>
      <c r="I52" s="147"/>
      <c r="J52" s="147"/>
      <c r="K52" s="147"/>
      <c r="L52" s="147"/>
      <c r="M52" s="147"/>
      <c r="N52" s="147"/>
      <c r="O52" s="147"/>
      <c r="P52" s="147"/>
      <c r="Q52" s="147"/>
      <c r="R52" s="550">
        <f t="shared" si="18"/>
        <v>1500000</v>
      </c>
      <c r="S52" s="147">
        <f>C52</f>
        <v>1458157.3435024032</v>
      </c>
      <c r="T52" s="147"/>
      <c r="U52" s="143"/>
    </row>
    <row r="53" spans="1:21" s="144" customFormat="1">
      <c r="A53" s="1193" t="s">
        <v>34</v>
      </c>
      <c r="B53" s="146">
        <f t="shared" si="16"/>
        <v>0</v>
      </c>
      <c r="C53" s="147"/>
      <c r="D53" s="147"/>
      <c r="E53" s="147">
        <f t="shared" si="17"/>
        <v>0</v>
      </c>
      <c r="F53" s="147"/>
      <c r="G53" s="147"/>
      <c r="H53" s="147"/>
      <c r="I53" s="147"/>
      <c r="J53" s="147"/>
      <c r="K53" s="147"/>
      <c r="L53" s="147"/>
      <c r="M53" s="147"/>
      <c r="N53" s="147"/>
      <c r="O53" s="147"/>
      <c r="P53" s="147"/>
      <c r="Q53" s="147"/>
      <c r="R53" s="550">
        <f t="shared" si="18"/>
        <v>0</v>
      </c>
      <c r="S53" s="147"/>
      <c r="T53" s="147"/>
      <c r="U53" s="143"/>
    </row>
    <row r="54" spans="1:21" s="153" customFormat="1" ht="12">
      <c r="A54" s="149" t="s">
        <v>157</v>
      </c>
      <c r="B54" s="150">
        <f>SUM(C54:D54)</f>
        <v>7784149.1604925906</v>
      </c>
      <c r="C54" s="150">
        <f t="shared" ref="C54:T54" si="19">SUM(C45:C53)</f>
        <v>7739851.7348138019</v>
      </c>
      <c r="D54" s="150">
        <f t="shared" si="19"/>
        <v>44297.425678789055</v>
      </c>
      <c r="E54" s="150">
        <f t="shared" si="19"/>
        <v>7784149.1604925916</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70">
        <f t="shared" si="19"/>
        <v>7784149.1604925916</v>
      </c>
      <c r="S54" s="150">
        <f t="shared" si="19"/>
        <v>4972694.5540441535</v>
      </c>
      <c r="T54" s="150">
        <f t="shared" si="19"/>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63800</v>
      </c>
      <c r="C56" s="147">
        <f>[2]EVERYTHING!$I$64</f>
        <v>63800</v>
      </c>
      <c r="D56" s="147">
        <f>[2]EVERYTHING!$J$64</f>
        <v>0</v>
      </c>
      <c r="E56" s="147">
        <f t="shared" ref="E56:E61" si="21">B56-SUM(F56:Q56)</f>
        <v>63800</v>
      </c>
      <c r="F56" s="147"/>
      <c r="G56" s="147"/>
      <c r="H56" s="147"/>
      <c r="I56" s="147"/>
      <c r="J56" s="147"/>
      <c r="K56" s="147"/>
      <c r="L56" s="147"/>
      <c r="M56" s="147"/>
      <c r="N56" s="147"/>
      <c r="O56" s="147"/>
      <c r="P56" s="147"/>
      <c r="Q56" s="147"/>
      <c r="R56" s="550">
        <f t="shared" ref="R56:R61" si="22">SUM(E56:Q56)</f>
        <v>63800</v>
      </c>
      <c r="S56" s="148"/>
      <c r="T56" s="148"/>
      <c r="U56" s="143"/>
    </row>
    <row r="57" spans="1:21" s="204" customFormat="1">
      <c r="A57" s="198" t="s">
        <v>152</v>
      </c>
      <c r="B57" s="205">
        <f t="shared" si="20"/>
        <v>0</v>
      </c>
      <c r="C57" s="202"/>
      <c r="D57" s="202"/>
      <c r="E57" s="202">
        <f t="shared" si="21"/>
        <v>0</v>
      </c>
      <c r="F57" s="202"/>
      <c r="G57" s="202"/>
      <c r="H57" s="202"/>
      <c r="I57" s="202"/>
      <c r="J57" s="202"/>
      <c r="K57" s="202"/>
      <c r="L57" s="202"/>
      <c r="M57" s="202"/>
      <c r="N57" s="202"/>
      <c r="O57" s="202"/>
      <c r="P57" s="202"/>
      <c r="Q57" s="202"/>
      <c r="R57" s="550">
        <f t="shared" si="22"/>
        <v>0</v>
      </c>
      <c r="S57" s="206"/>
      <c r="T57" s="206"/>
      <c r="U57" s="203"/>
    </row>
    <row r="58" spans="1:21" s="144" customFormat="1">
      <c r="A58" s="145" t="s">
        <v>156</v>
      </c>
      <c r="B58" s="146">
        <f t="shared" si="20"/>
        <v>25000</v>
      </c>
      <c r="C58" s="147">
        <f>[2]EVERYTHING!$I$66</f>
        <v>25000</v>
      </c>
      <c r="D58" s="147">
        <f>[2]EVERYTHING!$J$66</f>
        <v>0</v>
      </c>
      <c r="E58" s="147">
        <f t="shared" si="21"/>
        <v>25000</v>
      </c>
      <c r="F58" s="147"/>
      <c r="G58" s="147"/>
      <c r="H58" s="147"/>
      <c r="I58" s="147"/>
      <c r="J58" s="147"/>
      <c r="K58" s="147"/>
      <c r="L58" s="147"/>
      <c r="M58" s="147"/>
      <c r="N58" s="147"/>
      <c r="O58" s="147"/>
      <c r="P58" s="147"/>
      <c r="Q58" s="147"/>
      <c r="R58" s="550">
        <f t="shared" si="22"/>
        <v>25000</v>
      </c>
      <c r="S58" s="148"/>
      <c r="T58" s="148"/>
      <c r="U58" s="143"/>
    </row>
    <row r="59" spans="1:21" s="144" customFormat="1">
      <c r="A59" s="304" t="s">
        <v>154</v>
      </c>
      <c r="B59" s="146">
        <f t="shared" si="20"/>
        <v>0</v>
      </c>
      <c r="C59" s="147"/>
      <c r="D59" s="147"/>
      <c r="E59" s="147">
        <f t="shared" si="21"/>
        <v>0</v>
      </c>
      <c r="F59" s="147"/>
      <c r="G59" s="147"/>
      <c r="H59" s="147"/>
      <c r="I59" s="147"/>
      <c r="J59" s="147"/>
      <c r="K59" s="147"/>
      <c r="L59" s="147"/>
      <c r="M59" s="147"/>
      <c r="N59" s="147"/>
      <c r="O59" s="147"/>
      <c r="P59" s="147"/>
      <c r="Q59" s="147"/>
      <c r="R59" s="550">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50">
        <f t="shared" si="22"/>
        <v>0</v>
      </c>
      <c r="S60" s="148"/>
      <c r="T60" s="148"/>
      <c r="U60" s="143"/>
    </row>
    <row r="61" spans="1:21" s="144" customFormat="1">
      <c r="A61" s="1193" t="s">
        <v>34</v>
      </c>
      <c r="B61" s="146">
        <f t="shared" si="20"/>
        <v>0</v>
      </c>
      <c r="C61" s="147"/>
      <c r="D61" s="147"/>
      <c r="E61" s="147">
        <f t="shared" si="21"/>
        <v>0</v>
      </c>
      <c r="F61" s="147"/>
      <c r="G61" s="147"/>
      <c r="H61" s="147"/>
      <c r="I61" s="147"/>
      <c r="J61" s="147"/>
      <c r="K61" s="147"/>
      <c r="L61" s="147"/>
      <c r="M61" s="147"/>
      <c r="N61" s="147"/>
      <c r="O61" s="147"/>
      <c r="P61" s="147"/>
      <c r="Q61" s="147"/>
      <c r="R61" s="550">
        <f t="shared" si="22"/>
        <v>0</v>
      </c>
      <c r="S61" s="148"/>
      <c r="T61" s="148"/>
      <c r="U61" s="143"/>
    </row>
    <row r="62" spans="1:21" s="144" customFormat="1" ht="13.65" customHeight="1">
      <c r="A62" s="149" t="s">
        <v>302</v>
      </c>
      <c r="B62" s="146">
        <f>SUM(C62:D62)</f>
        <v>88800</v>
      </c>
      <c r="C62" s="146">
        <f t="shared" ref="C62:R62" si="23">SUM(C56:C61)</f>
        <v>88800</v>
      </c>
      <c r="D62" s="146">
        <f t="shared" si="23"/>
        <v>0</v>
      </c>
      <c r="E62" s="146">
        <f t="shared" si="23"/>
        <v>88800</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70">
        <f t="shared" si="23"/>
        <v>88800</v>
      </c>
      <c r="S62" s="148"/>
      <c r="T62" s="148"/>
      <c r="U62" s="143"/>
    </row>
    <row r="63" spans="1:21" s="144" customFormat="1">
      <c r="A63" s="154" t="s">
        <v>303</v>
      </c>
      <c r="B63" s="146">
        <f t="shared" ref="B63:R63" si="24">SUM(B8+B11+B13+B14+B15+B26+B27+B38+B42+B43+B54+B62)</f>
        <v>61070381.645060971</v>
      </c>
      <c r="C63" s="146">
        <f t="shared" si="24"/>
        <v>59637043.565827936</v>
      </c>
      <c r="D63" s="146">
        <f t="shared" si="24"/>
        <v>1433338.0792330352</v>
      </c>
      <c r="E63" s="146">
        <f t="shared" si="24"/>
        <v>16159081.554159712</v>
      </c>
      <c r="F63" s="146">
        <f t="shared" si="24"/>
        <v>5380000</v>
      </c>
      <c r="G63" s="146">
        <f t="shared" si="24"/>
        <v>14531301</v>
      </c>
      <c r="H63" s="146">
        <f t="shared" si="24"/>
        <v>18718944.416281417</v>
      </c>
      <c r="I63" s="146">
        <f t="shared" si="24"/>
        <v>3556400</v>
      </c>
      <c r="J63" s="146">
        <f t="shared" si="24"/>
        <v>0</v>
      </c>
      <c r="K63" s="146">
        <f t="shared" si="24"/>
        <v>1000000</v>
      </c>
      <c r="L63" s="146">
        <f t="shared" si="24"/>
        <v>1724654.6746198384</v>
      </c>
      <c r="M63" s="146">
        <f t="shared" si="24"/>
        <v>0</v>
      </c>
      <c r="N63" s="146">
        <f t="shared" si="24"/>
        <v>0</v>
      </c>
      <c r="O63" s="146">
        <f t="shared" si="24"/>
        <v>0</v>
      </c>
      <c r="P63" s="146">
        <f t="shared" si="24"/>
        <v>0</v>
      </c>
      <c r="Q63" s="146">
        <f t="shared" si="24"/>
        <v>0</v>
      </c>
      <c r="R63" s="370">
        <f t="shared" si="24"/>
        <v>61070381.645060964</v>
      </c>
      <c r="S63" s="146">
        <f>SUM(S10+S13+S14+S15+S26+S27+S38+S42+S43+S54)</f>
        <v>50704181.45344995</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f>[2]EVERYTHING!$I$71</f>
        <v>75000</v>
      </c>
      <c r="D65" s="147">
        <f>[2]EVERYTHING!$J$71</f>
        <v>0</v>
      </c>
      <c r="E65" s="147">
        <f t="shared" ref="E65:E69" si="25">B65-SUM(F65:Q65)</f>
        <v>75000</v>
      </c>
      <c r="F65" s="147"/>
      <c r="G65" s="147"/>
      <c r="H65" s="147"/>
      <c r="I65" s="147"/>
      <c r="J65" s="147"/>
      <c r="K65" s="147"/>
      <c r="L65" s="147"/>
      <c r="M65" s="147"/>
      <c r="N65" s="147"/>
      <c r="O65" s="147"/>
      <c r="P65" s="147"/>
      <c r="Q65" s="147"/>
      <c r="R65" s="550">
        <f>SUM(E65:Q65)</f>
        <v>75000</v>
      </c>
      <c r="S65" s="147">
        <f>[2]EVERYTHING!$K$71</f>
        <v>51923.076923076922</v>
      </c>
      <c r="T65" s="147"/>
      <c r="U65" s="143"/>
    </row>
    <row r="66" spans="1:21" s="144" customFormat="1" ht="24" customHeight="1">
      <c r="A66" s="304" t="s">
        <v>1753</v>
      </c>
      <c r="B66" s="146">
        <f>SUM(C66+D66)</f>
        <v>0</v>
      </c>
      <c r="C66" s="147"/>
      <c r="D66" s="147"/>
      <c r="E66" s="147">
        <f t="shared" si="25"/>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5"/>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5"/>
        <v>0</v>
      </c>
      <c r="F68" s="147"/>
      <c r="G68" s="147"/>
      <c r="H68" s="147"/>
      <c r="I68" s="147"/>
      <c r="J68" s="147"/>
      <c r="K68" s="147"/>
      <c r="L68" s="147"/>
      <c r="M68" s="147"/>
      <c r="N68" s="147"/>
      <c r="O68" s="147"/>
      <c r="P68" s="147"/>
      <c r="Q68" s="147"/>
      <c r="R68" s="550">
        <f>SUM(E68:Q68)</f>
        <v>0</v>
      </c>
      <c r="S68" s="147"/>
      <c r="T68" s="147"/>
      <c r="U68" s="143"/>
    </row>
    <row r="69" spans="1:21" s="144" customFormat="1">
      <c r="A69" s="1193" t="s">
        <v>2769</v>
      </c>
      <c r="B69" s="146">
        <f>SUM(C69+D69)</f>
        <v>135000</v>
      </c>
      <c r="C69" s="147">
        <f>[2]EVERYTHING!$I$73</f>
        <v>131234.16091521629</v>
      </c>
      <c r="D69" s="147">
        <f>[2]EVERYTHING!$J$73</f>
        <v>3765.839084783704</v>
      </c>
      <c r="E69" s="147">
        <f t="shared" si="25"/>
        <v>135000</v>
      </c>
      <c r="F69" s="147"/>
      <c r="G69" s="147"/>
      <c r="H69" s="147"/>
      <c r="I69" s="147"/>
      <c r="J69" s="147"/>
      <c r="K69" s="147"/>
      <c r="L69" s="147"/>
      <c r="M69" s="147"/>
      <c r="N69" s="147"/>
      <c r="O69" s="147"/>
      <c r="P69" s="147"/>
      <c r="Q69" s="147"/>
      <c r="R69" s="550">
        <f>SUM(E69:Q69)</f>
        <v>135000</v>
      </c>
      <c r="S69" s="147">
        <f>C69</f>
        <v>131234.16091521629</v>
      </c>
      <c r="T69" s="147"/>
      <c r="U69" s="143"/>
    </row>
    <row r="70" spans="1:21" s="144" customFormat="1" ht="12">
      <c r="A70" s="149" t="s">
        <v>1757</v>
      </c>
      <c r="B70" s="146">
        <f>SUM(C70:D70)</f>
        <v>210000</v>
      </c>
      <c r="C70" s="146">
        <f>SUM(C65:C69)</f>
        <v>206234.16091521629</v>
      </c>
      <c r="D70" s="146">
        <f>SUM(D65:D69)</f>
        <v>3765.839084783704</v>
      </c>
      <c r="E70" s="146">
        <f t="shared" ref="E70:T70" si="26">SUM(E65:E69)</f>
        <v>210000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210000</v>
      </c>
      <c r="S70" s="150">
        <f t="shared" si="26"/>
        <v>183157.23783829319</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7">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7"/>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144000</v>
      </c>
      <c r="C74" s="147">
        <f>[2]EVERYTHING!$I$78</f>
        <v>144000</v>
      </c>
      <c r="D74" s="147">
        <f>[2]EVERYTHING!$J$78</f>
        <v>0</v>
      </c>
      <c r="E74" s="147">
        <f t="shared" si="27"/>
        <v>144000</v>
      </c>
      <c r="F74" s="147"/>
      <c r="G74" s="147"/>
      <c r="H74" s="147"/>
      <c r="I74" s="147"/>
      <c r="J74" s="147"/>
      <c r="K74" s="147"/>
      <c r="L74" s="147"/>
      <c r="M74" s="147"/>
      <c r="N74" s="147"/>
      <c r="O74" s="147"/>
      <c r="P74" s="147"/>
      <c r="Q74" s="147"/>
      <c r="R74" s="550">
        <f>SUM(E74:Q74)</f>
        <v>144000</v>
      </c>
      <c r="S74" s="148"/>
      <c r="T74" s="148"/>
      <c r="U74" s="143"/>
    </row>
    <row r="75" spans="1:21" s="144" customFormat="1">
      <c r="A75" s="145" t="s">
        <v>614</v>
      </c>
      <c r="B75" s="146">
        <f>SUM(C75+D75)</f>
        <v>451156</v>
      </c>
      <c r="C75" s="147">
        <f>[2]EVERYTHING!$I$76</f>
        <v>451156</v>
      </c>
      <c r="D75" s="147">
        <f>[2]EVERYTHING!$J$76</f>
        <v>0</v>
      </c>
      <c r="E75" s="147">
        <f t="shared" si="27"/>
        <v>451156</v>
      </c>
      <c r="F75" s="147"/>
      <c r="G75" s="147"/>
      <c r="H75" s="147"/>
      <c r="I75" s="147"/>
      <c r="J75" s="147"/>
      <c r="K75" s="147"/>
      <c r="L75" s="147"/>
      <c r="M75" s="147"/>
      <c r="N75" s="147"/>
      <c r="O75" s="147"/>
      <c r="P75" s="147"/>
      <c r="Q75" s="147"/>
      <c r="R75" s="550">
        <f>SUM(E75:Q75)</f>
        <v>451156</v>
      </c>
      <c r="S75" s="148"/>
      <c r="T75" s="148"/>
      <c r="U75" s="143"/>
    </row>
    <row r="76" spans="1:21" s="144" customFormat="1">
      <c r="A76" s="1193" t="s">
        <v>2770</v>
      </c>
      <c r="B76" s="146">
        <f>SUM(C76+D76)</f>
        <v>127353.59999999999</v>
      </c>
      <c r="C76" s="147">
        <f>[2]EVERYTHING!$I$79</f>
        <v>127353.59999999999</v>
      </c>
      <c r="D76" s="147">
        <f>[2]EVERYTHING!$J$79</f>
        <v>0</v>
      </c>
      <c r="E76" s="147">
        <f t="shared" si="27"/>
        <v>127353.59999999999</v>
      </c>
      <c r="F76" s="147"/>
      <c r="G76" s="147"/>
      <c r="H76" s="147"/>
      <c r="I76" s="147"/>
      <c r="J76" s="147"/>
      <c r="K76" s="147"/>
      <c r="L76" s="147"/>
      <c r="M76" s="147"/>
      <c r="N76" s="147"/>
      <c r="O76" s="147"/>
      <c r="P76" s="147"/>
      <c r="Q76" s="147"/>
      <c r="R76" s="550">
        <f>SUM(E76:Q76)</f>
        <v>127353.59999999999</v>
      </c>
      <c r="S76" s="148"/>
      <c r="T76" s="148"/>
      <c r="U76" s="143"/>
    </row>
    <row r="77" spans="1:21" s="144" customFormat="1" ht="12">
      <c r="A77" s="149" t="s">
        <v>615</v>
      </c>
      <c r="B77" s="146">
        <f>SUM(C77:D77)</f>
        <v>722509.6</v>
      </c>
      <c r="C77" s="146">
        <f>SUM(C72:C76)</f>
        <v>722509.6</v>
      </c>
      <c r="D77" s="146">
        <f>SUM(D72:D76)</f>
        <v>0</v>
      </c>
      <c r="E77" s="146">
        <f t="shared" ref="E77:Q77" si="28">SUM(E72:E76)</f>
        <v>722509.6</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70">
        <f>SUM(R72:R76)</f>
        <v>722509.6</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4458099.7837532377</v>
      </c>
      <c r="C79" s="147">
        <f>[2]EVERYTHING!$I$82</f>
        <v>4333740.6251641735</v>
      </c>
      <c r="D79" s="147">
        <f>[2]EVERYTHING!$J$82</f>
        <v>124359.15858906459</v>
      </c>
      <c r="E79" s="147">
        <f t="shared" ref="E79:E80" si="29">B79-SUM(F79:Q79)</f>
        <v>4458099.7837532377</v>
      </c>
      <c r="F79" s="147"/>
      <c r="G79" s="147"/>
      <c r="H79" s="147"/>
      <c r="I79" s="147"/>
      <c r="J79" s="147"/>
      <c r="K79" s="147"/>
      <c r="L79" s="147"/>
      <c r="M79" s="147"/>
      <c r="N79" s="147"/>
      <c r="O79" s="147"/>
      <c r="P79" s="147"/>
      <c r="Q79" s="147"/>
      <c r="R79" s="550">
        <f>SUM(E79:Q79)</f>
        <v>4458099.7837532377</v>
      </c>
      <c r="S79" s="147">
        <f>C79</f>
        <v>4333740.6251641735</v>
      </c>
      <c r="T79" s="147"/>
      <c r="U79" s="143"/>
    </row>
    <row r="80" spans="1:21" s="144" customFormat="1">
      <c r="A80" s="304" t="s">
        <v>58</v>
      </c>
      <c r="B80" s="146">
        <f>SUM(C80:D80)</f>
        <v>1293355.9324870408</v>
      </c>
      <c r="C80" s="147">
        <f>[2]EVERYTHING!$I$94</f>
        <v>1277887.0048388552</v>
      </c>
      <c r="D80" s="147">
        <f>[2]EVERYTHING!$J$94</f>
        <v>15468.92764818547</v>
      </c>
      <c r="E80" s="147">
        <f t="shared" si="29"/>
        <v>1293355.9324870408</v>
      </c>
      <c r="F80" s="147"/>
      <c r="G80" s="147"/>
      <c r="H80" s="147"/>
      <c r="I80" s="147"/>
      <c r="J80" s="147"/>
      <c r="K80" s="147"/>
      <c r="L80" s="147"/>
      <c r="M80" s="147"/>
      <c r="N80" s="147"/>
      <c r="O80" s="147"/>
      <c r="P80" s="147"/>
      <c r="Q80" s="147"/>
      <c r="R80" s="550">
        <f>SUM(E80:Q80)</f>
        <v>1293355.9324870408</v>
      </c>
      <c r="S80" s="147">
        <f>C80</f>
        <v>1277887.0048388552</v>
      </c>
      <c r="T80" s="147"/>
      <c r="U80" s="143"/>
    </row>
    <row r="81" spans="1:21" s="144" customFormat="1" ht="12">
      <c r="A81" s="149" t="s">
        <v>1316</v>
      </c>
      <c r="B81" s="146">
        <f>SUM(C81:D81)</f>
        <v>5751455.7162402784</v>
      </c>
      <c r="C81" s="543">
        <f>SUM(C79:C80)</f>
        <v>5611627.6300030285</v>
      </c>
      <c r="D81" s="543">
        <f t="shared" ref="D81:T81" si="30">SUM(D79:D80)</f>
        <v>139828.08623725007</v>
      </c>
      <c r="E81" s="543">
        <f t="shared" si="30"/>
        <v>5751455.7162402784</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5751455.7162402784</v>
      </c>
      <c r="S81" s="543">
        <f t="shared" si="30"/>
        <v>5611627.6300030285</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31">SUM(C83+D83)</f>
        <v>90366.98000000001</v>
      </c>
      <c r="C83" s="147">
        <f>[2]EVERYTHING!$I$85</f>
        <v>90366.98000000001</v>
      </c>
      <c r="D83" s="147">
        <f>[2]EVERYTHING!$J$85</f>
        <v>0</v>
      </c>
      <c r="E83" s="147">
        <f t="shared" ref="E83:E95" si="32">B83-SUM(F83:Q83)</f>
        <v>90366.98000000001</v>
      </c>
      <c r="F83" s="147"/>
      <c r="G83" s="147"/>
      <c r="H83" s="147"/>
      <c r="I83" s="147"/>
      <c r="J83" s="147"/>
      <c r="K83" s="147"/>
      <c r="L83" s="147"/>
      <c r="M83" s="147"/>
      <c r="N83" s="147"/>
      <c r="O83" s="147"/>
      <c r="P83" s="147"/>
      <c r="Q83" s="147"/>
      <c r="R83" s="550">
        <f t="shared" ref="R83:R95" si="33">SUM(E83:Q83)</f>
        <v>90366.98000000001</v>
      </c>
      <c r="S83" s="148"/>
      <c r="T83" s="148"/>
      <c r="U83" s="143"/>
    </row>
    <row r="84" spans="1:21" s="144" customFormat="1">
      <c r="A84" s="145" t="s">
        <v>777</v>
      </c>
      <c r="B84" s="146">
        <f t="shared" si="31"/>
        <v>53500</v>
      </c>
      <c r="C84" s="147">
        <f>[2]EVERYTHING!$I$91</f>
        <v>52007.611918252383</v>
      </c>
      <c r="D84" s="147">
        <f>[2]EVERYTHING!$J$91</f>
        <v>1492.3880817476161</v>
      </c>
      <c r="E84" s="147">
        <f t="shared" si="32"/>
        <v>53500</v>
      </c>
      <c r="F84" s="147"/>
      <c r="G84" s="147"/>
      <c r="H84" s="147"/>
      <c r="I84" s="147"/>
      <c r="J84" s="147"/>
      <c r="K84" s="147"/>
      <c r="L84" s="147"/>
      <c r="M84" s="147"/>
      <c r="N84" s="147"/>
      <c r="O84" s="147"/>
      <c r="P84" s="147"/>
      <c r="Q84" s="147"/>
      <c r="R84" s="550">
        <f t="shared" si="33"/>
        <v>53500</v>
      </c>
      <c r="S84" s="147">
        <f>C84</f>
        <v>52007.611918252383</v>
      </c>
      <c r="T84" s="147"/>
      <c r="U84" s="143"/>
    </row>
    <row r="85" spans="1:21" s="144" customFormat="1">
      <c r="A85" s="145" t="s">
        <v>778</v>
      </c>
      <c r="B85" s="146">
        <f t="shared" si="31"/>
        <v>1091517</v>
      </c>
      <c r="C85" s="147">
        <f>[2]EVERYTHING!$I$87</f>
        <v>1091517</v>
      </c>
      <c r="D85" s="147">
        <f>[2]EVERYTHING!$J$87</f>
        <v>0</v>
      </c>
      <c r="E85" s="147">
        <f t="shared" si="32"/>
        <v>1091517</v>
      </c>
      <c r="F85" s="147"/>
      <c r="G85" s="147"/>
      <c r="H85" s="147"/>
      <c r="I85" s="147"/>
      <c r="J85" s="147"/>
      <c r="K85" s="147"/>
      <c r="L85" s="147"/>
      <c r="M85" s="147"/>
      <c r="N85" s="147"/>
      <c r="O85" s="147"/>
      <c r="P85" s="147"/>
      <c r="Q85" s="147"/>
      <c r="R85" s="550">
        <f t="shared" si="33"/>
        <v>1091517</v>
      </c>
      <c r="S85" s="147">
        <f>C85</f>
        <v>1091517</v>
      </c>
      <c r="T85" s="147"/>
      <c r="U85" s="143"/>
    </row>
    <row r="86" spans="1:21" s="144" customFormat="1">
      <c r="A86" s="145" t="s">
        <v>779</v>
      </c>
      <c r="B86" s="146">
        <f t="shared" si="31"/>
        <v>1516351.1496000001</v>
      </c>
      <c r="C86" s="147">
        <f>[2]EVERYTHING!$I$88</f>
        <v>1474052.3760783677</v>
      </c>
      <c r="D86" s="147">
        <f>[2]EVERYTHING!$J$88</f>
        <v>42298.773521632458</v>
      </c>
      <c r="E86" s="147">
        <f t="shared" si="32"/>
        <v>1516351.1496000001</v>
      </c>
      <c r="F86" s="147"/>
      <c r="G86" s="147"/>
      <c r="H86" s="147"/>
      <c r="I86" s="147"/>
      <c r="J86" s="147"/>
      <c r="K86" s="147"/>
      <c r="L86" s="147"/>
      <c r="M86" s="147"/>
      <c r="N86" s="147"/>
      <c r="O86" s="147"/>
      <c r="P86" s="147"/>
      <c r="Q86" s="147"/>
      <c r="R86" s="550">
        <f t="shared" si="33"/>
        <v>1516351.1496000001</v>
      </c>
      <c r="S86" s="147">
        <f>C86</f>
        <v>1474052.3760783677</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59000</v>
      </c>
      <c r="C88" s="147">
        <f>[2]EVERYTHING!$I$90</f>
        <v>59000</v>
      </c>
      <c r="D88" s="147">
        <f>[2]EVERYTHING!$J$90</f>
        <v>0</v>
      </c>
      <c r="E88" s="147">
        <f t="shared" si="32"/>
        <v>59000</v>
      </c>
      <c r="F88" s="147"/>
      <c r="G88" s="147"/>
      <c r="H88" s="147"/>
      <c r="I88" s="147"/>
      <c r="J88" s="147"/>
      <c r="K88" s="147"/>
      <c r="L88" s="147"/>
      <c r="M88" s="147"/>
      <c r="N88" s="147"/>
      <c r="O88" s="147"/>
      <c r="P88" s="147"/>
      <c r="Q88" s="147"/>
      <c r="R88" s="550">
        <f t="shared" si="33"/>
        <v>59000</v>
      </c>
      <c r="S88" s="148"/>
      <c r="T88" s="148"/>
      <c r="U88" s="143"/>
    </row>
    <row r="89" spans="1:21" s="144" customFormat="1">
      <c r="A89" s="145" t="s">
        <v>782</v>
      </c>
      <c r="B89" s="146">
        <f t="shared" si="31"/>
        <v>60000</v>
      </c>
      <c r="C89" s="147">
        <f>[2]EVERYTHING!$I$92</f>
        <v>60000</v>
      </c>
      <c r="D89" s="147">
        <f>[2]EVERYTHING!$J$92</f>
        <v>0</v>
      </c>
      <c r="E89" s="147">
        <f t="shared" si="32"/>
        <v>60000</v>
      </c>
      <c r="F89" s="147"/>
      <c r="G89" s="147"/>
      <c r="H89" s="147"/>
      <c r="I89" s="147"/>
      <c r="J89" s="147"/>
      <c r="K89" s="147"/>
      <c r="L89" s="147"/>
      <c r="M89" s="147"/>
      <c r="N89" s="147"/>
      <c r="O89" s="147"/>
      <c r="P89" s="147"/>
      <c r="Q89" s="147"/>
      <c r="R89" s="550">
        <f t="shared" si="33"/>
        <v>60000</v>
      </c>
      <c r="S89" s="147">
        <f>C89</f>
        <v>60000</v>
      </c>
      <c r="T89" s="147"/>
      <c r="U89" s="143"/>
    </row>
    <row r="90" spans="1:21" s="144" customFormat="1">
      <c r="A90" s="145" t="s">
        <v>783</v>
      </c>
      <c r="B90" s="146">
        <f t="shared" si="31"/>
        <v>15000</v>
      </c>
      <c r="C90" s="147">
        <f>[2]EVERYTHING!$I$89</f>
        <v>15000</v>
      </c>
      <c r="D90" s="147">
        <f>[2]EVERYTHING!$J$89</f>
        <v>0</v>
      </c>
      <c r="E90" s="147">
        <f t="shared" si="32"/>
        <v>15000</v>
      </c>
      <c r="F90" s="147"/>
      <c r="G90" s="147"/>
      <c r="H90" s="147"/>
      <c r="I90" s="147"/>
      <c r="J90" s="147"/>
      <c r="K90" s="147"/>
      <c r="L90" s="147"/>
      <c r="M90" s="147"/>
      <c r="N90" s="147"/>
      <c r="O90" s="147"/>
      <c r="P90" s="147"/>
      <c r="Q90" s="147"/>
      <c r="R90" s="550">
        <f t="shared" si="33"/>
        <v>15000</v>
      </c>
      <c r="S90" s="147"/>
      <c r="T90" s="147"/>
      <c r="U90" s="143"/>
    </row>
    <row r="91" spans="1:21" s="144" customFormat="1">
      <c r="A91" s="145" t="s">
        <v>373</v>
      </c>
      <c r="B91" s="146">
        <f t="shared" si="31"/>
        <v>0</v>
      </c>
      <c r="C91" s="147"/>
      <c r="D91" s="147"/>
      <c r="E91" s="147">
        <f t="shared" si="32"/>
        <v>0</v>
      </c>
      <c r="F91" s="147"/>
      <c r="G91" s="147"/>
      <c r="H91" s="147"/>
      <c r="I91" s="147"/>
      <c r="J91" s="147"/>
      <c r="K91" s="147"/>
      <c r="L91" s="147"/>
      <c r="M91" s="147"/>
      <c r="N91" s="147"/>
      <c r="O91" s="147"/>
      <c r="P91" s="147"/>
      <c r="Q91" s="147"/>
      <c r="R91" s="550">
        <f t="shared" si="33"/>
        <v>0</v>
      </c>
      <c r="S91" s="147"/>
      <c r="T91" s="147"/>
      <c r="U91" s="143"/>
    </row>
    <row r="92" spans="1:21" s="144" customFormat="1">
      <c r="A92" s="304" t="s">
        <v>1318</v>
      </c>
      <c r="B92" s="146">
        <f t="shared" si="31"/>
        <v>34500</v>
      </c>
      <c r="C92" s="147">
        <f>[2]EVERYTHING!$I$81</f>
        <v>33537.618900555273</v>
      </c>
      <c r="D92" s="147">
        <f>[2]EVERYTHING!$J$81</f>
        <v>962.38109944472433</v>
      </c>
      <c r="E92" s="147">
        <f t="shared" si="32"/>
        <v>34500</v>
      </c>
      <c r="F92" s="147"/>
      <c r="G92" s="147"/>
      <c r="H92" s="147"/>
      <c r="I92" s="147"/>
      <c r="J92" s="147"/>
      <c r="K92" s="147"/>
      <c r="L92" s="147"/>
      <c r="M92" s="147"/>
      <c r="N92" s="147"/>
      <c r="O92" s="147"/>
      <c r="P92" s="147"/>
      <c r="Q92" s="147"/>
      <c r="R92" s="550">
        <f t="shared" si="33"/>
        <v>34500</v>
      </c>
      <c r="S92" s="147">
        <f>[1]EVERYTHING!$K$81</f>
        <v>16768.809450277637</v>
      </c>
      <c r="T92" s="147"/>
      <c r="U92" s="143"/>
    </row>
    <row r="93" spans="1:21" s="144" customFormat="1">
      <c r="A93" s="1193" t="s">
        <v>34</v>
      </c>
      <c r="B93" s="146">
        <f t="shared" si="31"/>
        <v>0</v>
      </c>
      <c r="C93" s="147"/>
      <c r="D93" s="147"/>
      <c r="E93" s="147">
        <f t="shared" si="32"/>
        <v>0</v>
      </c>
      <c r="F93" s="147"/>
      <c r="G93" s="147"/>
      <c r="H93" s="147"/>
      <c r="I93" s="147"/>
      <c r="J93" s="147"/>
      <c r="K93" s="147"/>
      <c r="L93" s="147"/>
      <c r="M93" s="147"/>
      <c r="N93" s="147"/>
      <c r="O93" s="147"/>
      <c r="P93" s="147"/>
      <c r="Q93" s="147"/>
      <c r="R93" s="550">
        <f t="shared" si="33"/>
        <v>0</v>
      </c>
      <c r="S93" s="147"/>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ht="12">
      <c r="A96" s="149" t="s">
        <v>784</v>
      </c>
      <c r="B96" s="146">
        <f>SUM(C96:D96)</f>
        <v>2920235.1296000001</v>
      </c>
      <c r="C96" s="146">
        <f t="shared" ref="C96:R96" si="34">SUM(C83:C95)</f>
        <v>2875481.5868971753</v>
      </c>
      <c r="D96" s="146">
        <f t="shared" si="34"/>
        <v>44753.542702824801</v>
      </c>
      <c r="E96" s="146">
        <f t="shared" si="34"/>
        <v>2920235.1296000001</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2920235.1296000001</v>
      </c>
      <c r="S96" s="150">
        <f>SUM(S84:S87,S89:S95)</f>
        <v>2694345.7974468977</v>
      </c>
      <c r="T96" s="146">
        <f>SUM(T84:T87,T89:T95)</f>
        <v>0</v>
      </c>
      <c r="U96" s="143"/>
    </row>
    <row r="97" spans="1:21" s="144" customFormat="1" ht="12">
      <c r="A97" s="149" t="s">
        <v>785</v>
      </c>
      <c r="B97" s="146">
        <f>SUM(C97:D97)</f>
        <v>70674582.090901256</v>
      </c>
      <c r="C97" s="146">
        <f t="shared" ref="C97:R97" si="35">SUM(C63+C70+C77+C81+C96)</f>
        <v>69052896.543643355</v>
      </c>
      <c r="D97" s="146">
        <f t="shared" si="35"/>
        <v>1621685.547257894</v>
      </c>
      <c r="E97" s="146">
        <f t="shared" si="35"/>
        <v>25763281.999999993</v>
      </c>
      <c r="F97" s="146">
        <f t="shared" si="35"/>
        <v>5380000</v>
      </c>
      <c r="G97" s="146">
        <f t="shared" si="35"/>
        <v>14531301</v>
      </c>
      <c r="H97" s="146">
        <f t="shared" si="35"/>
        <v>18718944.416281417</v>
      </c>
      <c r="I97" s="146">
        <f t="shared" si="35"/>
        <v>3556400</v>
      </c>
      <c r="J97" s="146">
        <f t="shared" si="35"/>
        <v>0</v>
      </c>
      <c r="K97" s="146">
        <f t="shared" si="35"/>
        <v>1000000</v>
      </c>
      <c r="L97" s="146">
        <f t="shared" si="35"/>
        <v>1724654.6746198384</v>
      </c>
      <c r="M97" s="146">
        <f t="shared" si="35"/>
        <v>0</v>
      </c>
      <c r="N97" s="146">
        <f t="shared" si="35"/>
        <v>0</v>
      </c>
      <c r="O97" s="146">
        <f t="shared" si="35"/>
        <v>0</v>
      </c>
      <c r="P97" s="146">
        <f t="shared" si="35"/>
        <v>0</v>
      </c>
      <c r="Q97" s="146">
        <f t="shared" si="35"/>
        <v>0</v>
      </c>
      <c r="R97" s="146">
        <f t="shared" si="35"/>
        <v>70674582.090901241</v>
      </c>
      <c r="S97" s="146">
        <f>SUM(S63+S70+S81+S96)</f>
        <v>59193312.118738167</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4500000</v>
      </c>
      <c r="C99" s="1014">
        <f>[2]EVERYTHING!$I$98</f>
        <v>4397030.8726380551</v>
      </c>
      <c r="D99" s="1014">
        <f>[2]EVERYTHING!$J$98</f>
        <v>102969.12736194459</v>
      </c>
      <c r="E99" s="1014">
        <f t="shared" ref="E99:E103" si="36">B99-SUM(F99:Q99)</f>
        <v>3800000</v>
      </c>
      <c r="F99" s="147"/>
      <c r="G99" s="147"/>
      <c r="H99" s="147"/>
      <c r="I99" s="147"/>
      <c r="J99" s="147">
        <f>[3]Application!AO631</f>
        <v>700000</v>
      </c>
      <c r="K99" s="147"/>
      <c r="L99" s="147"/>
      <c r="M99" s="147"/>
      <c r="N99" s="147"/>
      <c r="O99" s="147"/>
      <c r="P99" s="147"/>
      <c r="Q99" s="147"/>
      <c r="R99" s="550">
        <f>SUM(E99:Q99)</f>
        <v>4500000</v>
      </c>
      <c r="S99" s="147">
        <f>C99</f>
        <v>4397030.8726380551</v>
      </c>
      <c r="T99" s="147"/>
      <c r="U99" s="143"/>
    </row>
    <row r="100" spans="1:21" s="144" customFormat="1">
      <c r="A100" s="304" t="s">
        <v>1758</v>
      </c>
      <c r="B100" s="146">
        <f>SUM(C100+D100)</f>
        <v>0</v>
      </c>
      <c r="C100" s="147"/>
      <c r="D100" s="147"/>
      <c r="E100" s="147">
        <f t="shared" si="36"/>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f t="shared" si="36"/>
        <v>0</v>
      </c>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f t="shared" si="36"/>
        <v>0</v>
      </c>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f t="shared" si="36"/>
        <v>0</v>
      </c>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4500000</v>
      </c>
      <c r="C104" s="146">
        <f>SUM(C99:C103)</f>
        <v>4397030.8726380551</v>
      </c>
      <c r="D104" s="146">
        <f t="shared" ref="D104:T104" si="37">SUM(D99:D103)</f>
        <v>102969.12736194459</v>
      </c>
      <c r="E104" s="146">
        <f t="shared" si="37"/>
        <v>3800000</v>
      </c>
      <c r="F104" s="146">
        <f t="shared" si="37"/>
        <v>0</v>
      </c>
      <c r="G104" s="146">
        <f t="shared" si="37"/>
        <v>0</v>
      </c>
      <c r="H104" s="146">
        <f t="shared" si="37"/>
        <v>0</v>
      </c>
      <c r="I104" s="146">
        <f t="shared" si="37"/>
        <v>0</v>
      </c>
      <c r="J104" s="146">
        <f t="shared" si="37"/>
        <v>700000</v>
      </c>
      <c r="K104" s="146">
        <f t="shared" si="37"/>
        <v>0</v>
      </c>
      <c r="L104" s="146">
        <f t="shared" si="37"/>
        <v>0</v>
      </c>
      <c r="M104" s="146">
        <f t="shared" si="37"/>
        <v>0</v>
      </c>
      <c r="N104" s="146">
        <f t="shared" si="37"/>
        <v>0</v>
      </c>
      <c r="O104" s="146">
        <f t="shared" si="37"/>
        <v>0</v>
      </c>
      <c r="P104" s="146">
        <f t="shared" si="37"/>
        <v>0</v>
      </c>
      <c r="Q104" s="146">
        <f t="shared" si="37"/>
        <v>0</v>
      </c>
      <c r="R104" s="370">
        <f t="shared" si="37"/>
        <v>4500000</v>
      </c>
      <c r="S104" s="150">
        <f t="shared" si="37"/>
        <v>4397030.8726380551</v>
      </c>
      <c r="T104" s="150">
        <f t="shared" si="37"/>
        <v>0</v>
      </c>
      <c r="U104" s="143"/>
    </row>
    <row r="105" spans="1:21" s="144" customFormat="1" ht="12">
      <c r="A105" s="149" t="s">
        <v>790</v>
      </c>
      <c r="B105" s="150">
        <f>SUM(C105:D105)</f>
        <v>75174582.090901256</v>
      </c>
      <c r="C105" s="150">
        <f t="shared" ref="C105:R105" si="38">SUM(C97+C104)</f>
        <v>73449927.416281417</v>
      </c>
      <c r="D105" s="150">
        <f t="shared" si="38"/>
        <v>1724654.6746198386</v>
      </c>
      <c r="E105" s="150">
        <f t="shared" si="38"/>
        <v>29563281.999999993</v>
      </c>
      <c r="F105" s="150">
        <f t="shared" si="38"/>
        <v>5380000</v>
      </c>
      <c r="G105" s="150">
        <f t="shared" si="38"/>
        <v>14531301</v>
      </c>
      <c r="H105" s="150">
        <f t="shared" si="38"/>
        <v>18718944.416281417</v>
      </c>
      <c r="I105" s="150">
        <f t="shared" si="38"/>
        <v>3556400</v>
      </c>
      <c r="J105" s="150">
        <f t="shared" si="38"/>
        <v>700000</v>
      </c>
      <c r="K105" s="150">
        <f t="shared" si="38"/>
        <v>1000000</v>
      </c>
      <c r="L105" s="150">
        <f t="shared" si="38"/>
        <v>1724654.6746198384</v>
      </c>
      <c r="M105" s="150">
        <f t="shared" si="38"/>
        <v>0</v>
      </c>
      <c r="N105" s="150">
        <f t="shared" si="38"/>
        <v>0</v>
      </c>
      <c r="O105" s="150">
        <f t="shared" si="38"/>
        <v>0</v>
      </c>
      <c r="P105" s="150">
        <f t="shared" si="38"/>
        <v>0</v>
      </c>
      <c r="Q105" s="150">
        <f t="shared" si="38"/>
        <v>0</v>
      </c>
      <c r="R105" s="370">
        <f t="shared" si="38"/>
        <v>75174582.090901241</v>
      </c>
      <c r="S105" s="150">
        <f>S97+S104</f>
        <v>63590342.991376221</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63590342.991376221</v>
      </c>
      <c r="T107" s="150">
        <f>T105+T106</f>
        <v>0</v>
      </c>
    </row>
    <row r="108" spans="1:21" s="201" customFormat="1" ht="12">
      <c r="A108" s="162" t="s">
        <v>892</v>
      </c>
      <c r="B108" s="157"/>
      <c r="C108" s="157"/>
      <c r="D108" s="157"/>
      <c r="E108" s="323">
        <f>Application!AO640</f>
        <v>29563282</v>
      </c>
      <c r="F108" s="323">
        <f>Application!AO627</f>
        <v>5380000</v>
      </c>
      <c r="G108" s="323">
        <f>Application!AO628</f>
        <v>14531301</v>
      </c>
      <c r="H108" s="323">
        <f>Application!AO629</f>
        <v>18718944.416281417</v>
      </c>
      <c r="I108" s="323">
        <f>Application!AO630</f>
        <v>3556400</v>
      </c>
      <c r="J108" s="323">
        <f>Application!AO631</f>
        <v>700000</v>
      </c>
      <c r="K108" s="323">
        <f>Application!AO632</f>
        <v>1000000</v>
      </c>
      <c r="L108" s="323">
        <f>Application!AO633</f>
        <v>1724654.6746198384</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4" t="s">
        <v>1015</v>
      </c>
      <c r="E122" s="1874"/>
      <c r="F122" s="1874"/>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6" t="s">
        <v>1332</v>
      </c>
      <c r="E123" s="1798"/>
      <c r="F123" s="1798"/>
      <c r="G123" s="1798"/>
      <c r="H123" s="1798"/>
      <c r="I123" s="1798"/>
      <c r="J123" s="1798"/>
      <c r="K123" s="1798"/>
      <c r="L123" s="1798"/>
      <c r="M123" s="1798"/>
      <c r="N123" s="1798"/>
      <c r="O123" s="1798"/>
      <c r="P123" s="1798"/>
      <c r="Q123" s="1798"/>
      <c r="R123" s="1798"/>
      <c r="S123" s="1798"/>
      <c r="T123" s="352"/>
      <c r="U123" s="354"/>
    </row>
    <row r="124" spans="1:21" ht="13.2">
      <c r="A124" s="117" t="s">
        <v>1017</v>
      </c>
      <c r="B124" s="361"/>
      <c r="C124" s="117"/>
      <c r="D124" s="1798"/>
      <c r="E124" s="1798"/>
      <c r="F124" s="1798"/>
      <c r="G124" s="1798"/>
      <c r="H124" s="1798"/>
      <c r="I124" s="1798"/>
      <c r="J124" s="1798"/>
      <c r="K124" s="1798"/>
      <c r="L124" s="1798"/>
      <c r="M124" s="1798"/>
      <c r="N124" s="1798"/>
      <c r="O124" s="1798"/>
      <c r="P124" s="1798"/>
      <c r="Q124" s="1798"/>
      <c r="R124" s="1798"/>
      <c r="S124" s="1798"/>
      <c r="T124" s="352"/>
      <c r="U124" s="354"/>
    </row>
    <row r="125" spans="1:21" ht="13.2">
      <c r="A125" s="117" t="s">
        <v>1018</v>
      </c>
      <c r="B125" s="361"/>
      <c r="C125" s="117"/>
      <c r="D125" s="1798"/>
      <c r="E125" s="1798"/>
      <c r="F125" s="1798"/>
      <c r="G125" s="1798"/>
      <c r="H125" s="1798"/>
      <c r="I125" s="1798"/>
      <c r="J125" s="1798"/>
      <c r="K125" s="1798"/>
      <c r="L125" s="1798"/>
      <c r="M125" s="1798"/>
      <c r="N125" s="1798"/>
      <c r="O125" s="1798"/>
      <c r="P125" s="1798"/>
      <c r="Q125" s="1798"/>
      <c r="R125" s="1798"/>
      <c r="S125" s="1798"/>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3.2">
      <c r="A129" s="117" t="s">
        <v>301</v>
      </c>
      <c r="B129" s="361"/>
      <c r="C129" s="117"/>
      <c r="D129" s="1873" t="s">
        <v>1022</v>
      </c>
      <c r="E129" s="1873"/>
      <c r="F129" s="1873"/>
      <c r="G129" s="1873"/>
      <c r="H129" s="1873"/>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864"/>
      <c r="E131" s="1864"/>
      <c r="F131" s="1864"/>
      <c r="G131" s="1864"/>
      <c r="H131" s="1864"/>
      <c r="I131" s="117"/>
      <c r="J131" s="1864"/>
      <c r="K131" s="1864"/>
      <c r="L131" s="1864"/>
      <c r="M131" s="1864"/>
      <c r="N131" s="117"/>
      <c r="O131" s="117"/>
      <c r="P131" s="117"/>
      <c r="Q131" s="117"/>
      <c r="R131" s="117"/>
      <c r="S131" s="117"/>
      <c r="T131" s="352"/>
      <c r="U131" s="354"/>
    </row>
    <row r="132" spans="1:21" ht="12" customHeight="1">
      <c r="A132" s="364"/>
      <c r="B132" s="117"/>
      <c r="C132" s="117"/>
      <c r="D132" s="1877" t="s">
        <v>1025</v>
      </c>
      <c r="E132" s="1877"/>
      <c r="F132" s="1877"/>
      <c r="G132" s="1877"/>
      <c r="H132" s="1877"/>
      <c r="I132" s="117"/>
      <c r="J132" s="1877" t="s">
        <v>1026</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3.2">
      <c r="A139" s="1875" t="s">
        <v>1029</v>
      </c>
      <c r="B139" s="1875"/>
      <c r="C139" s="1875"/>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81" t="s">
        <v>1335</v>
      </c>
      <c r="B1" s="1882"/>
      <c r="C1" s="1882"/>
      <c r="D1" s="1882"/>
      <c r="E1" s="1882"/>
      <c r="F1" s="1882"/>
      <c r="G1" s="1882"/>
      <c r="H1" s="1882"/>
      <c r="I1" s="1882"/>
      <c r="J1" s="188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5715000</v>
      </c>
      <c r="C4" s="393"/>
      <c r="D4" s="393"/>
      <c r="E4" s="394"/>
      <c r="F4" s="394"/>
      <c r="G4" s="394"/>
      <c r="H4" s="394"/>
      <c r="I4" s="394"/>
      <c r="J4" s="394"/>
      <c r="K4" s="390"/>
    </row>
    <row r="5" spans="1:11" s="391" customFormat="1" ht="11.4">
      <c r="A5" s="395" t="s">
        <v>28</v>
      </c>
      <c r="B5" s="392">
        <f>'Sources and Uses Budget'!C5</f>
        <v>204423.93851008028</v>
      </c>
      <c r="C5" s="393"/>
      <c r="D5" s="393"/>
      <c r="E5" s="394"/>
      <c r="F5" s="394"/>
      <c r="G5" s="394"/>
      <c r="H5" s="394"/>
      <c r="I5" s="394"/>
      <c r="J5" s="394"/>
      <c r="K5" s="390"/>
    </row>
    <row r="6" spans="1:11" s="391" customFormat="1" ht="11.4">
      <c r="A6" s="395" t="s">
        <v>29</v>
      </c>
      <c r="B6" s="392">
        <f>'Sources and Uses Budget'!C6</f>
        <v>157480.99309825955</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6076904.9316083398</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486400</v>
      </c>
      <c r="C10" s="393"/>
      <c r="D10" s="393"/>
      <c r="E10" s="392">
        <f>'Sources and Uses Budget'!S10</f>
        <v>486400</v>
      </c>
      <c r="F10" s="393"/>
      <c r="G10" s="393"/>
      <c r="H10" s="392">
        <f>'Sources and Uses Budget'!T10</f>
        <v>0</v>
      </c>
      <c r="I10" s="393"/>
      <c r="J10" s="393"/>
      <c r="K10" s="390"/>
    </row>
    <row r="11" spans="1:11" s="391" customFormat="1">
      <c r="A11" s="396" t="s">
        <v>605</v>
      </c>
      <c r="B11" s="392">
        <f>'Sources and Uses Budget'!C11</f>
        <v>486400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6563304.9316083398</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880827.85740740737</v>
      </c>
      <c r="C29" s="393"/>
      <c r="D29" s="393"/>
      <c r="E29" s="392">
        <f>'Sources and Uses Budget'!S29</f>
        <v>880827.85740740737</v>
      </c>
      <c r="F29" s="393"/>
      <c r="G29" s="393"/>
      <c r="H29" s="392">
        <f>'Sources and Uses Budget'!T29</f>
        <v>0</v>
      </c>
      <c r="I29" s="393"/>
      <c r="J29" s="393"/>
      <c r="K29" s="390"/>
    </row>
    <row r="30" spans="1:11" s="391" customFormat="1" ht="11.4">
      <c r="A30" s="145" t="s">
        <v>608</v>
      </c>
      <c r="B30" s="392">
        <f>'Sources and Uses Budget'!C30</f>
        <v>37694779.200387418</v>
      </c>
      <c r="C30" s="393"/>
      <c r="D30" s="393"/>
      <c r="E30" s="392">
        <f>'Sources and Uses Budget'!S30</f>
        <v>37694779.200387418</v>
      </c>
      <c r="F30" s="393"/>
      <c r="G30" s="393"/>
      <c r="H30" s="392">
        <f>'Sources and Uses Budget'!T30</f>
        <v>0</v>
      </c>
      <c r="I30" s="393"/>
      <c r="J30" s="393"/>
      <c r="K30" s="390"/>
    </row>
    <row r="31" spans="1:11" s="391" customFormat="1" ht="11.4">
      <c r="A31" s="145" t="s">
        <v>609</v>
      </c>
      <c r="B31" s="392">
        <f>'Sources and Uses Budget'!C31</f>
        <v>2024290.7400000002</v>
      </c>
      <c r="C31" s="393"/>
      <c r="D31" s="393"/>
      <c r="E31" s="392">
        <f>'Sources and Uses Budget'!S31</f>
        <v>2024290.7400000002</v>
      </c>
      <c r="F31" s="393"/>
      <c r="G31" s="393"/>
      <c r="H31" s="392">
        <f>'Sources and Uses Budget'!T31</f>
        <v>0</v>
      </c>
      <c r="I31" s="393"/>
      <c r="J31" s="393"/>
      <c r="K31" s="390"/>
    </row>
    <row r="32" spans="1:11" s="391" customFormat="1" ht="11.4">
      <c r="A32" s="145" t="s">
        <v>137</v>
      </c>
      <c r="B32" s="392">
        <f>'Sources and Uses Budget'!C32</f>
        <v>724333.92649180512</v>
      </c>
      <c r="C32" s="393"/>
      <c r="D32" s="393"/>
      <c r="E32" s="392">
        <f>'Sources and Uses Budget'!S32</f>
        <v>724333.92649180512</v>
      </c>
      <c r="F32" s="393"/>
      <c r="G32" s="393"/>
      <c r="H32" s="392">
        <f>'Sources and Uses Budget'!T32</f>
        <v>0</v>
      </c>
      <c r="I32" s="393"/>
      <c r="J32" s="393"/>
      <c r="K32" s="390"/>
    </row>
    <row r="33" spans="1:11" s="391" customFormat="1" ht="11.4">
      <c r="A33" s="145" t="s">
        <v>138</v>
      </c>
      <c r="B33" s="392">
        <f>'Sources and Uses Budget'!C33</f>
        <v>724333.92649180512</v>
      </c>
      <c r="C33" s="393"/>
      <c r="D33" s="393"/>
      <c r="E33" s="392">
        <f>'Sources and Uses Budget'!S33</f>
        <v>724333.92649180512</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726025.46765347419</v>
      </c>
      <c r="C35" s="393"/>
      <c r="D35" s="393"/>
      <c r="E35" s="392">
        <f>'Sources and Uses Budget'!S35</f>
        <v>726025.46765347419</v>
      </c>
      <c r="F35" s="393"/>
      <c r="G35" s="393"/>
      <c r="H35" s="392">
        <f>'Sources and Uses Budget'!T35</f>
        <v>0</v>
      </c>
      <c r="I35" s="393"/>
      <c r="J35" s="393"/>
      <c r="K35" s="390"/>
    </row>
    <row r="36" spans="1:11" s="391" customFormat="1" ht="11.4">
      <c r="A36" s="542" t="s">
        <v>1752</v>
      </c>
      <c r="B36" s="392">
        <f>'Sources and Uses Budget'!C36</f>
        <v>194420.97913365377</v>
      </c>
      <c r="C36" s="393"/>
      <c r="D36" s="393"/>
      <c r="E36" s="392">
        <f>'Sources and Uses Budget'!S36</f>
        <v>194420.97913365377</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42969012.097565562</v>
      </c>
      <c r="C38" s="392">
        <f>SUM(C29:C37)</f>
        <v>0</v>
      </c>
      <c r="D38" s="392">
        <f>SUM(D29:D37)</f>
        <v>0</v>
      </c>
      <c r="E38" s="392">
        <f>'Sources and Uses Budget'!S38</f>
        <v>42969012.097565562</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1766212.181297167</v>
      </c>
      <c r="C40" s="393"/>
      <c r="D40" s="393"/>
      <c r="E40" s="392">
        <f>'Sources and Uses Budget'!S40</f>
        <v>1766212.181297167</v>
      </c>
      <c r="F40" s="393"/>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1766212.181297167</v>
      </c>
      <c r="C42" s="392">
        <f>SUM(C39:C41)</f>
        <v>0</v>
      </c>
      <c r="D42" s="392">
        <f>SUM(D39:D41)</f>
        <v>0</v>
      </c>
      <c r="E42" s="392">
        <f>'Sources and Uses Budget'!S42</f>
        <v>1766212.181297167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509862.62054306082</v>
      </c>
      <c r="C43" s="393"/>
      <c r="D43" s="393"/>
      <c r="E43" s="392">
        <f>'Sources and Uses Budget'!S43</f>
        <v>509862.62054306082</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5564674.6321155317</v>
      </c>
      <c r="C45" s="393"/>
      <c r="D45" s="393"/>
      <c r="E45" s="392">
        <f>'Sources and Uses Budget'!S45</f>
        <v>2991817.3062311322</v>
      </c>
      <c r="F45" s="393"/>
      <c r="G45" s="393"/>
      <c r="H45" s="392">
        <f>'Sources and Uses Budget'!T45</f>
        <v>0</v>
      </c>
      <c r="I45" s="393"/>
      <c r="J45" s="393"/>
      <c r="K45" s="390"/>
    </row>
    <row r="46" spans="1:11" s="391" customFormat="1" ht="11.4">
      <c r="A46" s="395" t="s">
        <v>151</v>
      </c>
      <c r="B46" s="392">
        <f>'Sources and Uses Budget'!C46</f>
        <v>399016.91612211056</v>
      </c>
      <c r="C46" s="393"/>
      <c r="D46" s="393"/>
      <c r="E46" s="392">
        <f>'Sources and Uses Budget'!S46</f>
        <v>276242.48039223038</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232457.61225494975</v>
      </c>
      <c r="C49" s="393"/>
      <c r="D49" s="393"/>
      <c r="E49" s="392">
        <f>'Sources and Uses Budget'!S49</f>
        <v>160932.19309958059</v>
      </c>
      <c r="F49" s="393"/>
      <c r="G49" s="393"/>
      <c r="H49" s="392">
        <f>'Sources and Uses Budget'!T49</f>
        <v>0</v>
      </c>
      <c r="I49" s="393"/>
      <c r="J49" s="393"/>
      <c r="K49" s="390"/>
    </row>
    <row r="50" spans="1:11" s="391" customFormat="1" ht="11.4">
      <c r="A50" s="395" t="s">
        <v>156</v>
      </c>
      <c r="B50" s="392">
        <f>'Sources and Uses Budget'!C50</f>
        <v>77768.391653461513</v>
      </c>
      <c r="C50" s="393"/>
      <c r="D50" s="393"/>
      <c r="E50" s="392">
        <f>'Sources and Uses Budget'!S50</f>
        <v>77768.391653461513</v>
      </c>
      <c r="F50" s="393"/>
      <c r="G50" s="393"/>
      <c r="H50" s="392">
        <f>'Sources and Uses Budget'!T50</f>
        <v>0</v>
      </c>
      <c r="I50" s="393"/>
      <c r="J50" s="393"/>
      <c r="K50" s="390"/>
    </row>
    <row r="51" spans="1:11" s="391" customFormat="1" ht="11.4">
      <c r="A51" s="395" t="s">
        <v>154</v>
      </c>
      <c r="B51" s="392">
        <f>'Sources and Uses Budget'!C51</f>
        <v>7776.8391653461513</v>
      </c>
      <c r="C51" s="393"/>
      <c r="D51" s="393"/>
      <c r="E51" s="392">
        <f>'Sources and Uses Budget'!S51</f>
        <v>7776.8391653461513</v>
      </c>
      <c r="F51" s="393"/>
      <c r="G51" s="393"/>
      <c r="H51" s="392">
        <f>'Sources and Uses Budget'!T51</f>
        <v>0</v>
      </c>
      <c r="I51" s="393"/>
      <c r="J51" s="393"/>
      <c r="K51" s="390"/>
    </row>
    <row r="52" spans="1:11" s="391" customFormat="1" ht="11.4">
      <c r="A52" s="395" t="s">
        <v>155</v>
      </c>
      <c r="B52" s="392">
        <f>'Sources and Uses Budget'!C52</f>
        <v>1458157.3435024032</v>
      </c>
      <c r="C52" s="393"/>
      <c r="D52" s="393"/>
      <c r="E52" s="392">
        <f>'Sources and Uses Budget'!S52</f>
        <v>1458157.3435024032</v>
      </c>
      <c r="F52" s="393"/>
      <c r="G52" s="393"/>
      <c r="H52" s="392">
        <f>'Sources and Uses Budget'!T52</f>
        <v>0</v>
      </c>
      <c r="I52" s="393"/>
      <c r="J52" s="393"/>
      <c r="K52" s="390"/>
    </row>
    <row r="53" spans="1:11" s="391" customFormat="1" ht="11.4">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7739851.7348138019</v>
      </c>
      <c r="C54" s="398">
        <f>SUM(C45:C53)</f>
        <v>0</v>
      </c>
      <c r="D54" s="398">
        <f>SUM(D45:D53)</f>
        <v>0</v>
      </c>
      <c r="E54" s="392">
        <f>'Sources and Uses Budget'!S54</f>
        <v>4972694.5540441535</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63800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25000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88800</v>
      </c>
      <c r="C62" s="392">
        <f>SUM(C56:C61)</f>
        <v>0</v>
      </c>
      <c r="D62" s="392">
        <f>SUM(D56:D61)</f>
        <v>0</v>
      </c>
      <c r="E62" s="394"/>
      <c r="F62" s="394"/>
      <c r="G62" s="394"/>
      <c r="H62" s="394"/>
      <c r="I62" s="394"/>
      <c r="J62" s="394"/>
      <c r="K62" s="390"/>
    </row>
    <row r="63" spans="1:11" s="391" customFormat="1" ht="11.4">
      <c r="A63" s="401" t="s">
        <v>303</v>
      </c>
      <c r="B63" s="392">
        <f>'Sources and Uses Budget'!C63</f>
        <v>59637043.565827936</v>
      </c>
      <c r="C63" s="392">
        <f>SUM(C8+C11+C13+C14+C15+C26+C27+C38+C42+C43+C54+C62)</f>
        <v>0</v>
      </c>
      <c r="D63" s="392">
        <f>SUM(D8+D11+D13+D14+D15+D26+D27+D38+D42+D43+D54+D62)</f>
        <v>0</v>
      </c>
      <c r="E63" s="392">
        <f>'Sources and Uses Budget'!S63</f>
        <v>50704181.45344995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75000</v>
      </c>
      <c r="C65" s="393"/>
      <c r="D65" s="393"/>
      <c r="E65" s="392">
        <f>'Sources and Uses Budget'!S65</f>
        <v>51923.076923076922</v>
      </c>
      <c r="F65" s="393"/>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Other: (Sponsor Legal)</v>
      </c>
      <c r="B69" s="392">
        <f>'Sources and Uses Budget'!C69</f>
        <v>131234.16091521629</v>
      </c>
      <c r="C69" s="393"/>
      <c r="D69" s="393"/>
      <c r="E69" s="392">
        <f>'Sources and Uses Budget'!S69</f>
        <v>131234.16091521629</v>
      </c>
      <c r="F69" s="393"/>
      <c r="G69" s="393"/>
      <c r="H69" s="392">
        <f>'Sources and Uses Budget'!T69</f>
        <v>0</v>
      </c>
      <c r="I69" s="393"/>
      <c r="J69" s="393"/>
      <c r="K69" s="390"/>
    </row>
    <row r="70" spans="1:11" s="391" customFormat="1">
      <c r="A70" s="396" t="s">
        <v>610</v>
      </c>
      <c r="B70" s="392">
        <f>'Sources and Uses Budget'!C70</f>
        <v>206234.16091521629</v>
      </c>
      <c r="C70" s="392">
        <f>SUM(C64:C69)</f>
        <v>0</v>
      </c>
      <c r="D70" s="392">
        <f>SUM(D64:D69)</f>
        <v>0</v>
      </c>
      <c r="E70" s="392">
        <f>'Sources and Uses Budget'!S70</f>
        <v>183157.23783829319</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144000</v>
      </c>
      <c r="C74" s="393"/>
      <c r="D74" s="393"/>
      <c r="E74" s="394"/>
      <c r="F74" s="394"/>
      <c r="G74" s="394"/>
      <c r="H74" s="394"/>
      <c r="I74" s="394"/>
      <c r="J74" s="394"/>
      <c r="K74" s="390"/>
    </row>
    <row r="75" spans="1:11" s="391" customFormat="1" ht="11.4">
      <c r="A75" s="395" t="s">
        <v>614</v>
      </c>
      <c r="B75" s="392">
        <f>'Sources and Uses Budget'!C75</f>
        <v>451156</v>
      </c>
      <c r="C75" s="393"/>
      <c r="D75" s="393"/>
      <c r="E75" s="394"/>
      <c r="F75" s="394"/>
      <c r="G75" s="394"/>
      <c r="H75" s="394"/>
      <c r="I75" s="394"/>
      <c r="J75" s="394"/>
      <c r="K75" s="390"/>
    </row>
    <row r="76" spans="1:11" s="391" customFormat="1" ht="11.4">
      <c r="A76" s="395" t="str">
        <f>'Sources and Uses Budget'!$A76</f>
        <v>Other: (Transition Reserve Fee)</v>
      </c>
      <c r="B76" s="392">
        <f>'Sources and Uses Budget'!C76</f>
        <v>127353.59999999999</v>
      </c>
      <c r="C76" s="393"/>
      <c r="D76" s="393"/>
      <c r="E76" s="394"/>
      <c r="F76" s="394"/>
      <c r="G76" s="394"/>
      <c r="H76" s="394"/>
      <c r="I76" s="394"/>
      <c r="J76" s="394"/>
      <c r="K76" s="390"/>
    </row>
    <row r="77" spans="1:11" s="391" customFormat="1">
      <c r="A77" s="396" t="s">
        <v>615</v>
      </c>
      <c r="B77" s="392">
        <f>'Sources and Uses Budget'!C77</f>
        <v>722509.6</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4333740.6251641735</v>
      </c>
      <c r="C79" s="393"/>
      <c r="D79" s="393"/>
      <c r="E79" s="392">
        <f>'Sources and Uses Budget'!S79</f>
        <v>4333740.6251641735</v>
      </c>
      <c r="F79" s="393"/>
      <c r="G79" s="393"/>
      <c r="H79" s="392">
        <f>'Sources and Uses Budget'!T79</f>
        <v>0</v>
      </c>
      <c r="I79" s="393"/>
      <c r="J79" s="393"/>
      <c r="K79" s="390"/>
    </row>
    <row r="80" spans="1:11" s="391" customFormat="1" ht="11.4">
      <c r="A80" s="395" t="s">
        <v>58</v>
      </c>
      <c r="B80" s="392">
        <f>'Sources and Uses Budget'!C80</f>
        <v>1277887.0048388552</v>
      </c>
      <c r="C80" s="393"/>
      <c r="D80" s="393"/>
      <c r="E80" s="392">
        <f>'Sources and Uses Budget'!S80</f>
        <v>1277887.0048388552</v>
      </c>
      <c r="F80" s="393"/>
      <c r="G80" s="393"/>
      <c r="H80" s="392">
        <f>'Sources and Uses Budget'!T80</f>
        <v>0</v>
      </c>
      <c r="I80" s="393"/>
      <c r="J80" s="393"/>
      <c r="K80" s="390"/>
    </row>
    <row r="81" spans="1:11" s="391" customFormat="1">
      <c r="A81" s="396" t="s">
        <v>1316</v>
      </c>
      <c r="B81" s="392">
        <f>'Sources and Uses Budget'!C81</f>
        <v>5611627.6300030285</v>
      </c>
      <c r="C81" s="392">
        <f>SUM(C79:C80)</f>
        <v>0</v>
      </c>
      <c r="D81" s="392">
        <f>SUM(D79:D80)</f>
        <v>0</v>
      </c>
      <c r="E81" s="392">
        <f>'Sources and Uses Budget'!S81</f>
        <v>5611627.6300030285</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90366.98000000001</v>
      </c>
      <c r="C83" s="393"/>
      <c r="D83" s="393"/>
      <c r="E83" s="394"/>
      <c r="F83" s="394"/>
      <c r="G83" s="394"/>
      <c r="H83" s="394"/>
      <c r="I83" s="394"/>
      <c r="J83" s="394"/>
      <c r="K83" s="390"/>
    </row>
    <row r="84" spans="1:11" s="391" customFormat="1" ht="11.4">
      <c r="A84" s="145" t="s">
        <v>777</v>
      </c>
      <c r="B84" s="392">
        <f>'Sources and Uses Budget'!C84</f>
        <v>52007.611918252383</v>
      </c>
      <c r="C84" s="393"/>
      <c r="D84" s="393"/>
      <c r="E84" s="392">
        <f>'Sources and Uses Budget'!S84</f>
        <v>52007.611918252383</v>
      </c>
      <c r="F84" s="393"/>
      <c r="G84" s="393"/>
      <c r="H84" s="392">
        <f>'Sources and Uses Budget'!T84</f>
        <v>0</v>
      </c>
      <c r="I84" s="393"/>
      <c r="J84" s="393"/>
      <c r="K84" s="390"/>
    </row>
    <row r="85" spans="1:11" s="391" customFormat="1" ht="11.4">
      <c r="A85" s="145" t="s">
        <v>778</v>
      </c>
      <c r="B85" s="392">
        <f>'Sources and Uses Budget'!C85</f>
        <v>1091517</v>
      </c>
      <c r="C85" s="393"/>
      <c r="D85" s="393"/>
      <c r="E85" s="392">
        <f>'Sources and Uses Budget'!S85</f>
        <v>1091517</v>
      </c>
      <c r="F85" s="393"/>
      <c r="G85" s="393"/>
      <c r="H85" s="392">
        <f>'Sources and Uses Budget'!T85</f>
        <v>0</v>
      </c>
      <c r="I85" s="393"/>
      <c r="J85" s="393"/>
      <c r="K85" s="390"/>
    </row>
    <row r="86" spans="1:11" s="391" customFormat="1" ht="11.4">
      <c r="A86" s="145" t="s">
        <v>779</v>
      </c>
      <c r="B86" s="392">
        <f>'Sources and Uses Budget'!C86</f>
        <v>1474052.3760783677</v>
      </c>
      <c r="C86" s="393"/>
      <c r="D86" s="393"/>
      <c r="E86" s="392">
        <f>'Sources and Uses Budget'!S86</f>
        <v>1474052.3760783677</v>
      </c>
      <c r="F86" s="393"/>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59000</v>
      </c>
      <c r="C88" s="393"/>
      <c r="D88" s="393"/>
      <c r="E88" s="394"/>
      <c r="F88" s="394"/>
      <c r="G88" s="394"/>
      <c r="H88" s="394"/>
      <c r="I88" s="394"/>
      <c r="J88" s="394"/>
      <c r="K88" s="390"/>
    </row>
    <row r="89" spans="1:11" s="391" customFormat="1" ht="11.4">
      <c r="A89" s="145" t="s">
        <v>782</v>
      </c>
      <c r="B89" s="392">
        <f>'Sources and Uses Budget'!C89</f>
        <v>60000</v>
      </c>
      <c r="C89" s="393"/>
      <c r="D89" s="393"/>
      <c r="E89" s="392">
        <f>'Sources and Uses Budget'!S89</f>
        <v>60000</v>
      </c>
      <c r="F89" s="393"/>
      <c r="G89" s="393"/>
      <c r="H89" s="392">
        <f>'Sources and Uses Budget'!T89</f>
        <v>0</v>
      </c>
      <c r="I89" s="393"/>
      <c r="J89" s="393"/>
      <c r="K89" s="390"/>
    </row>
    <row r="90" spans="1:11" s="391" customFormat="1" ht="11.4">
      <c r="A90" s="145" t="s">
        <v>783</v>
      </c>
      <c r="B90" s="392">
        <f>'Sources and Uses Budget'!C90</f>
        <v>15000</v>
      </c>
      <c r="C90" s="393"/>
      <c r="D90" s="393"/>
      <c r="E90" s="392">
        <f>'Sources and Uses Budget'!S90</f>
        <v>0</v>
      </c>
      <c r="F90" s="393"/>
      <c r="G90" s="393"/>
      <c r="H90" s="392">
        <f>'Sources and Uses Budget'!T90</f>
        <v>0</v>
      </c>
      <c r="I90" s="393"/>
      <c r="J90" s="393"/>
      <c r="K90" s="390"/>
    </row>
    <row r="91" spans="1:11" s="391" customFormat="1" ht="11.4">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ht="11.4">
      <c r="A92" s="542" t="s">
        <v>1318</v>
      </c>
      <c r="B92" s="392">
        <f>'Sources and Uses Budget'!C92</f>
        <v>33537.618900555273</v>
      </c>
      <c r="C92" s="393"/>
      <c r="D92" s="393"/>
      <c r="E92" s="392">
        <f>'Sources and Uses Budget'!S92</f>
        <v>16768.809450277637</v>
      </c>
      <c r="F92" s="393"/>
      <c r="G92" s="393"/>
      <c r="H92" s="392">
        <f>'Sources and Uses Budget'!T92</f>
        <v>0</v>
      </c>
      <c r="I92" s="393"/>
      <c r="J92" s="393"/>
      <c r="K92" s="390"/>
    </row>
    <row r="93" spans="1:11" s="391" customFormat="1" ht="11.4">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1.4">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2875481.5868971753</v>
      </c>
      <c r="C96" s="392">
        <f>SUM(C83:C95)</f>
        <v>0</v>
      </c>
      <c r="D96" s="392">
        <f>SUM(D83:D95)</f>
        <v>0</v>
      </c>
      <c r="E96" s="392">
        <f>'Sources and Uses Budget'!S96</f>
        <v>2694345.7974468977</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69052896.543643355</v>
      </c>
      <c r="C97" s="392">
        <f>SUM(C63+C70+C77+C81+C96)</f>
        <v>0</v>
      </c>
      <c r="D97" s="392">
        <f>SUM(D63+D70+D77+D81+D96)</f>
        <v>0</v>
      </c>
      <c r="E97" s="392">
        <f>'Sources and Uses Budget'!S97</f>
        <v>59193312.118738167</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4397030.8726380551</v>
      </c>
      <c r="C99" s="393"/>
      <c r="D99" s="393"/>
      <c r="E99" s="392">
        <f>'Sources and Uses Budget'!S99</f>
        <v>4397030.8726380551</v>
      </c>
      <c r="F99" s="393"/>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4397030.8726380551</v>
      </c>
      <c r="C104" s="392">
        <f>SUM(C99:C103)</f>
        <v>0</v>
      </c>
      <c r="D104" s="392">
        <f>SUM(D99:D103)</f>
        <v>0</v>
      </c>
      <c r="E104" s="392">
        <f>'Sources and Uses Budget'!S104</f>
        <v>4397030.8726380551</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73449927.416281417</v>
      </c>
      <c r="C105" s="398">
        <f>SUM(C97+C104)</f>
        <v>0</v>
      </c>
      <c r="D105" s="398">
        <f>SUM(D97+D104)</f>
        <v>0</v>
      </c>
      <c r="E105" s="392">
        <f>'Sources and Uses Budget'!S105</f>
        <v>63590342.991376221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63590342.991376221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9"/>
      <c r="E124" s="1333"/>
      <c r="F124" s="1333"/>
      <c r="G124" s="1333"/>
      <c r="H124" s="1333"/>
      <c r="I124" s="1333"/>
      <c r="J124" s="407"/>
      <c r="K124" s="390"/>
    </row>
    <row r="125" spans="1:11" s="391" customFormat="1" ht="13.2">
      <c r="A125" s="416"/>
      <c r="B125" s="415"/>
      <c r="C125" s="416"/>
      <c r="D125" s="1333"/>
      <c r="E125" s="1333"/>
      <c r="F125" s="1333"/>
      <c r="G125" s="1333"/>
      <c r="H125" s="1333"/>
      <c r="I125" s="1333"/>
      <c r="J125" s="407"/>
      <c r="K125" s="390"/>
    </row>
    <row r="126" spans="1:11" s="391" customFormat="1" ht="13.2">
      <c r="A126" s="416"/>
      <c r="B126" s="415"/>
      <c r="C126" s="416"/>
      <c r="D126" s="1333"/>
      <c r="E126" s="1333"/>
      <c r="F126" s="1333"/>
      <c r="G126" s="1333"/>
      <c r="H126" s="1333"/>
      <c r="I126" s="1333"/>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3" zoomScale="148" workbookViewId="0">
      <selection activeCell="H740" sqref="H740:I740"/>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1916" t="s">
        <v>1410</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1415</v>
      </c>
      <c r="AF7" s="1900"/>
      <c r="AG7" s="1900"/>
      <c r="AH7" s="1900"/>
      <c r="AI7" s="1900"/>
      <c r="AJ7" s="1900"/>
      <c r="AK7" s="1900"/>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600</v>
      </c>
      <c r="C13" s="189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600</v>
      </c>
      <c r="C16" s="1890"/>
      <c r="D16" s="581"/>
      <c r="E16" s="1901" t="s">
        <v>1417</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1418</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600</v>
      </c>
      <c r="C22" s="1890"/>
      <c r="D22" s="581"/>
      <c r="E22" s="1923" t="s">
        <v>1420</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1418</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600</v>
      </c>
      <c r="C25" s="1890"/>
      <c r="D25" s="581"/>
      <c r="E25" s="1891" t="s">
        <v>2347</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1418</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0" t="s">
        <v>600</v>
      </c>
      <c r="C30" s="1890"/>
      <c r="D30" s="581"/>
      <c r="E30" s="1923" t="s">
        <v>2319</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600</v>
      </c>
      <c r="C33" s="1890"/>
      <c r="D33" s="581"/>
      <c r="E33" s="1891" t="s">
        <v>2320</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600</v>
      </c>
      <c r="C39" s="1890"/>
      <c r="D39" s="1186"/>
      <c r="E39" s="1891" t="s">
        <v>2321</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600</v>
      </c>
      <c r="C46" s="1890"/>
      <c r="D46" s="574"/>
      <c r="E46" s="1891" t="s">
        <v>2326</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600</v>
      </c>
      <c r="C50" s="1890"/>
      <c r="D50" s="574"/>
      <c r="E50" s="1911" t="s">
        <v>2327</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600</v>
      </c>
      <c r="C52" s="1890"/>
      <c r="D52" s="574"/>
      <c r="E52" s="1891" t="s">
        <v>2328</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0">
        <f>AO36</f>
        <v>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1424</v>
      </c>
      <c r="AF59" s="1900"/>
      <c r="AG59" s="1900"/>
      <c r="AH59" s="1900"/>
      <c r="AI59" s="1900"/>
      <c r="AJ59" s="1900"/>
      <c r="AK59" s="1900"/>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554</v>
      </c>
      <c r="C62" s="1890"/>
      <c r="D62" s="581" t="s">
        <v>1425</v>
      </c>
      <c r="E62" s="1901" t="s">
        <v>2329</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10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10</v>
      </c>
      <c r="AP65" s="608" t="s">
        <v>1426</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600</v>
      </c>
      <c r="C68" s="189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600</v>
      </c>
      <c r="F69" s="189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600</v>
      </c>
      <c r="F70" s="188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600</v>
      </c>
      <c r="F71" s="188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600</v>
      </c>
      <c r="F73" s="189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600</v>
      </c>
      <c r="C75" s="1890"/>
      <c r="D75" s="581" t="s">
        <v>1430</v>
      </c>
      <c r="E75" s="1891" t="s">
        <v>1929</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0">
        <f>IF(AK56&gt;0,0,AO65)</f>
        <v>10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1415</v>
      </c>
      <c r="AF81" s="1900"/>
      <c r="AG81" s="1900"/>
      <c r="AH81" s="1900"/>
      <c r="AI81" s="1900"/>
      <c r="AJ81" s="1900"/>
      <c r="AK81" s="1900"/>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554</v>
      </c>
      <c r="C84" s="1890"/>
      <c r="D84" s="581" t="s">
        <v>1425</v>
      </c>
      <c r="E84" s="1901" t="s">
        <v>1435</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0.42151898734177218</v>
      </c>
      <c r="F87" s="1885"/>
      <c r="G87" s="1885"/>
      <c r="H87" s="188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0.16999999999999998</v>
      </c>
      <c r="F88" s="1887"/>
      <c r="G88" s="1887"/>
      <c r="H88" s="188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20</v>
      </c>
      <c r="F89" s="1915"/>
      <c r="G89" s="1915"/>
      <c r="H89" s="191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600</v>
      </c>
      <c r="C92" s="1890"/>
      <c r="D92" s="581" t="s">
        <v>1427</v>
      </c>
      <c r="E92" s="1901" t="s">
        <v>1914</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0.42151898734177218</v>
      </c>
      <c r="F97" s="1885"/>
      <c r="G97" s="1885"/>
      <c r="H97" s="188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0.31645569620253167</v>
      </c>
      <c r="F98" s="1885"/>
      <c r="G98" s="1885"/>
      <c r="H98" s="188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0.68354430379746833</v>
      </c>
      <c r="F99" s="1885"/>
      <c r="G99" s="1885"/>
      <c r="H99" s="188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IF(AND(E97&lt;=0.6,OR(AND(E98&gt;=0.1,E99&gt;=0.1),AND(E98&gt;0.1,(E98+E99)&gt;=0.2))),20,0)</f>
        <v>20</v>
      </c>
      <c r="F100" s="1940"/>
      <c r="G100" s="1940"/>
      <c r="H100" s="1940"/>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0">
        <f>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1424</v>
      </c>
      <c r="AF106" s="1900"/>
      <c r="AG106" s="1900"/>
      <c r="AH106" s="1900"/>
      <c r="AI106" s="1900"/>
      <c r="AJ106" s="1900"/>
      <c r="AK106" s="1900"/>
      <c r="AL106" s="574"/>
      <c r="AM106" s="574"/>
      <c r="AN106" s="569"/>
      <c r="AO106" s="570" t="str">
        <f>Application!B718</f>
        <v>1 Bedroom</v>
      </c>
      <c r="AQ106" s="570">
        <f>Application!O718</f>
        <v>743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1035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1327</v>
      </c>
    </row>
    <row r="109" spans="1:49" s="570" customFormat="1" ht="12.75" customHeight="1">
      <c r="A109" s="574"/>
      <c r="B109" s="1890" t="s">
        <v>554</v>
      </c>
      <c r="C109" s="1890"/>
      <c r="D109" s="581" t="s">
        <v>1425</v>
      </c>
      <c r="E109" s="1901" t="s">
        <v>2048</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1 Bedroom</v>
      </c>
      <c r="AQ109" s="570">
        <f>Application!O721</f>
        <v>305</v>
      </c>
      <c r="AU109" s="570" t="s">
        <v>2030</v>
      </c>
      <c r="AV109" s="629" t="s">
        <v>2031</v>
      </c>
      <c r="AW109" s="570" t="s">
        <v>2032</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1 Bedroom</v>
      </c>
      <c r="AQ110" s="570">
        <f>Application!O722</f>
        <v>1035</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1 Bedroom</v>
      </c>
      <c r="AQ111" s="570">
        <f>Application!O723</f>
        <v>1327</v>
      </c>
      <c r="AU111" s="890" t="str">
        <f>J118</f>
        <v>1-bedroom</v>
      </c>
      <c r="AV111" s="570">
        <f t="array" ref="AV111">SUM(IF(Application!B718:F752="1 Bedroom",Application!G718:J752))</f>
        <v>79</v>
      </c>
      <c r="AW111" s="1046">
        <f>AV111/AV116</f>
        <v>1</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79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1699</v>
      </c>
      <c r="F118" s="1885"/>
      <c r="G118" s="1885"/>
      <c r="H118" s="1885"/>
      <c r="I118" s="611"/>
      <c r="J118" s="1885" t="s">
        <v>1743</v>
      </c>
      <c r="K118" s="1885"/>
      <c r="L118" s="1885"/>
      <c r="M118" s="1885"/>
      <c r="N118" s="611"/>
      <c r="O118" s="1885" t="s">
        <v>1744</v>
      </c>
      <c r="P118" s="1885"/>
      <c r="Q118" s="1885"/>
      <c r="R118" s="1885"/>
      <c r="S118" s="611"/>
      <c r="T118" s="1885" t="s">
        <v>1444</v>
      </c>
      <c r="U118" s="1885"/>
      <c r="V118" s="1885"/>
      <c r="W118" s="1885"/>
      <c r="X118" s="611"/>
      <c r="Y118" s="1885" t="s">
        <v>1745</v>
      </c>
      <c r="Z118" s="1885"/>
      <c r="AA118" s="1885"/>
      <c r="AB118" s="1885"/>
      <c r="AC118" s="611"/>
      <c r="AD118" s="1885" t="s">
        <v>1746</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c r="F121" s="1942"/>
      <c r="G121" s="1942"/>
      <c r="H121" s="1942"/>
      <c r="I121" s="898"/>
      <c r="J121" s="1942">
        <v>2555</v>
      </c>
      <c r="K121" s="1942"/>
      <c r="L121" s="1942"/>
      <c r="M121" s="1942"/>
      <c r="N121" s="898"/>
      <c r="O121" s="1942"/>
      <c r="P121" s="1942"/>
      <c r="Q121" s="1942"/>
      <c r="R121" s="1942"/>
      <c r="S121" s="898"/>
      <c r="T121" s="1942"/>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0</v>
      </c>
      <c r="F124" s="1935"/>
      <c r="G124" s="1935"/>
      <c r="H124" s="1935"/>
      <c r="I124" s="898"/>
      <c r="J124" s="1935">
        <f>Application!EC670</f>
        <v>1075.6582278481014</v>
      </c>
      <c r="K124" s="1935"/>
      <c r="L124" s="1935"/>
      <c r="M124" s="1935"/>
      <c r="N124" s="898"/>
      <c r="O124" s="1935">
        <f>Application!EH670</f>
        <v>0</v>
      </c>
      <c r="P124" s="1935"/>
      <c r="Q124" s="1935"/>
      <c r="R124" s="1935"/>
      <c r="S124" s="902"/>
      <c r="T124" s="1935">
        <f>Application!EM670</f>
        <v>0</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t="e">
        <f>(E121-E124)/E121</f>
        <v>#DIV/0!</v>
      </c>
      <c r="F127" s="1887"/>
      <c r="G127" s="1887"/>
      <c r="H127" s="2133"/>
      <c r="I127" s="611"/>
      <c r="J127" s="2132">
        <f>(J121-J124)/J121</f>
        <v>0.57899873665436341</v>
      </c>
      <c r="K127" s="1887"/>
      <c r="L127" s="1887"/>
      <c r="M127" s="2133"/>
      <c r="N127" s="611"/>
      <c r="O127" s="2132" t="e">
        <f>(O121-O124)/O121</f>
        <v>#DIV/0!</v>
      </c>
      <c r="P127" s="1887"/>
      <c r="Q127" s="1887"/>
      <c r="R127" s="2133"/>
      <c r="S127" s="611"/>
      <c r="T127" s="2132" t="e">
        <f>(T121-T124)/T121</f>
        <v>#DIV/0!</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t="e">
        <f>IF(((E127-0.1)*AW110)&gt;0,((E127-0.1)*AW110),0)</f>
        <v>#DIV/0!</v>
      </c>
      <c r="F130" s="1937"/>
      <c r="G130" s="1937"/>
      <c r="H130" s="1938"/>
      <c r="I130" s="611"/>
      <c r="J130" s="1936">
        <f>IF(((J127-0.1)*AW111)&gt;0,((J127-0.1)*AW111),0)</f>
        <v>0.47899873665436343</v>
      </c>
      <c r="K130" s="1937"/>
      <c r="L130" s="1937"/>
      <c r="M130" s="1938"/>
      <c r="N130" s="611"/>
      <c r="O130" s="1936" t="e">
        <f>IF(((O127-0.1)*AW112)&gt;0,((O127-0.1)*AW112),0)</f>
        <v>#DIV/0!</v>
      </c>
      <c r="P130" s="1937"/>
      <c r="Q130" s="1937"/>
      <c r="R130" s="1938"/>
      <c r="S130" s="611"/>
      <c r="T130" s="1936" t="e">
        <f>IF(((T127-0.1)*AW113)&gt;0,((T127-0.1)*AW113),0)</f>
        <v>#DIV/0!</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0.47</v>
      </c>
      <c r="F132" s="1887"/>
      <c r="G132" s="1887"/>
      <c r="H132" s="213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0" t="s">
        <v>1424</v>
      </c>
      <c r="AF140" s="1900"/>
      <c r="AG140" s="1900"/>
      <c r="AH140" s="1900"/>
      <c r="AI140" s="1900"/>
      <c r="AJ140" s="1900"/>
      <c r="AK140" s="1900"/>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1448</v>
      </c>
      <c r="AG142" s="1932"/>
      <c r="AH142" s="1932"/>
      <c r="AI142" s="1932"/>
      <c r="AJ142" s="1932"/>
      <c r="AK142" s="1932"/>
      <c r="AL142" s="193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
        <v>2749</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8" t="s">
        <v>1451</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9" t="s">
        <v>600</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8" t="s">
        <v>1453</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1462</v>
      </c>
      <c r="AG157" s="1932"/>
      <c r="AH157" s="1932"/>
      <c r="AI157" s="1932"/>
      <c r="AJ157" s="1932"/>
      <c r="AK157" s="1932"/>
      <c r="AL157" s="193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1460</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554</v>
      </c>
      <c r="AG161" s="1959"/>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8" t="s">
        <v>1466</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0" t="str">
        <f>Application!AA335</f>
        <v xml:space="preserve">John Stewart Company </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1424</v>
      </c>
      <c r="AF175" s="1900"/>
      <c r="AG175" s="1900"/>
      <c r="AH175" s="1900"/>
      <c r="AI175" s="1900"/>
      <c r="AJ175" s="1900"/>
      <c r="AK175" s="1900"/>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6" t="s">
        <v>1472</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1473</v>
      </c>
      <c r="AG177" s="1932"/>
      <c r="AH177" s="1932"/>
      <c r="AI177" s="1932"/>
      <c r="AJ177" s="1932"/>
      <c r="AK177" s="1932"/>
      <c r="AL177" s="1932"/>
      <c r="AN177" s="631"/>
      <c r="AP177" s="584" t="s">
        <v>1068</v>
      </c>
      <c r="AQ177" s="584">
        <v>10</v>
      </c>
    </row>
    <row r="178" spans="1:45" s="584" customFormat="1" ht="12.75" customHeight="1">
      <c r="A178" s="570"/>
      <c r="B178" s="1957" t="s">
        <v>1915</v>
      </c>
      <c r="C178" s="1957"/>
      <c r="D178" s="1957"/>
      <c r="E178" s="1957"/>
      <c r="F178" s="1957"/>
      <c r="G178" s="1957"/>
      <c r="H178" s="1957"/>
      <c r="I178" s="1957"/>
      <c r="J178" s="1957"/>
      <c r="K178" s="1957"/>
      <c r="L178" s="1957"/>
      <c r="M178" s="1957"/>
      <c r="N178" s="1957"/>
      <c r="O178" s="1957"/>
      <c r="P178" s="1957"/>
      <c r="Q178" s="1957"/>
      <c r="R178" s="1957"/>
      <c r="S178" s="1957"/>
      <c r="T178" s="1933" t="s">
        <v>600</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6">
        <f>IF(AK78&gt;0,VLOOKUP($B$177,AP174:AQ180,2,FALSE),0)</f>
        <v>10</v>
      </c>
      <c r="AL180" s="1967"/>
      <c r="AM180" s="1968"/>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1482</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2750</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f>[3]Application!AO630</f>
        <v>3556400</v>
      </c>
      <c r="AE188" s="1945"/>
      <c r="AF188" s="1945"/>
      <c r="AG188" s="1945"/>
      <c r="AH188" s="1945"/>
      <c r="AI188" s="1945"/>
      <c r="AJ188" s="1945"/>
      <c r="AK188" s="644"/>
    </row>
    <row r="189" spans="1:45">
      <c r="A189" s="639"/>
      <c r="B189" s="1944" t="s">
        <v>2751</v>
      </c>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f>[3]Application!AO628</f>
        <v>14531301</v>
      </c>
      <c r="AE189" s="1945"/>
      <c r="AF189" s="1945"/>
      <c r="AG189" s="1945"/>
      <c r="AH189" s="1945"/>
      <c r="AI189" s="1945"/>
      <c r="AJ189" s="1945"/>
      <c r="AK189" s="644"/>
    </row>
    <row r="190" spans="1:45">
      <c r="A190" s="639"/>
      <c r="B190" s="1944" t="s">
        <v>2765</v>
      </c>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f>[3]Application!AO629</f>
        <v>18718944.416281417</v>
      </c>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1738</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4202759.4707890553</v>
      </c>
      <c r="AE198" s="1973"/>
      <c r="AF198" s="1973"/>
      <c r="AG198" s="1973"/>
      <c r="AH198" s="1973"/>
      <c r="AI198" s="1973"/>
      <c r="AJ198" s="1973"/>
      <c r="AK198" s="644"/>
    </row>
    <row r="199" spans="1:37">
      <c r="A199" s="639"/>
      <c r="B199" s="2107" t="s">
        <v>1701</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8">
        <f>SUM(AD188:AJ198)-AD199</f>
        <v>41009404.88707047</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1718</v>
      </c>
      <c r="J211" s="1948"/>
      <c r="K211" s="1948"/>
      <c r="L211" s="570"/>
      <c r="M211" s="570"/>
      <c r="N211" s="570"/>
      <c r="O211" s="570"/>
      <c r="P211" s="570"/>
      <c r="Q211" s="570"/>
      <c r="R211" s="570"/>
      <c r="S211" s="570"/>
      <c r="T211" s="2135" t="s">
        <v>1712</v>
      </c>
      <c r="U211" s="2135"/>
      <c r="V211" s="2135"/>
      <c r="W211" s="2135"/>
      <c r="X211" s="2135"/>
      <c r="Y211" s="2135"/>
      <c r="Z211" s="883"/>
      <c r="AA211" s="523"/>
      <c r="AB211" s="1943" t="s">
        <v>1713</v>
      </c>
      <c r="AC211" s="1943"/>
      <c r="AD211" s="1943"/>
      <c r="AE211" s="1943"/>
      <c r="AF211" s="1943"/>
      <c r="AG211" s="1943"/>
      <c r="AH211" s="861"/>
      <c r="AI211" s="861"/>
      <c r="AJ211" s="861"/>
      <c r="AK211" s="644"/>
    </row>
    <row r="212" spans="1:37">
      <c r="A212" s="639"/>
      <c r="B212" s="1946" t="s">
        <v>1698</v>
      </c>
      <c r="C212" s="1946"/>
      <c r="D212" s="1946"/>
      <c r="E212" s="1946"/>
      <c r="F212" s="1946"/>
      <c r="G212" s="1946"/>
      <c r="I212" s="1947" t="s">
        <v>1719</v>
      </c>
      <c r="J212" s="1947"/>
      <c r="K212" s="1947"/>
      <c r="L212" s="1043"/>
      <c r="N212" s="1953" t="s">
        <v>1714</v>
      </c>
      <c r="O212" s="1953"/>
      <c r="P212" s="1953"/>
      <c r="Q212" s="1953"/>
      <c r="R212" s="1953"/>
      <c r="T212" s="1953" t="s">
        <v>1715</v>
      </c>
      <c r="U212" s="1953"/>
      <c r="V212" s="1953"/>
      <c r="W212" s="1953"/>
      <c r="X212" s="1953"/>
      <c r="Y212" s="1953"/>
      <c r="Z212" s="884"/>
      <c r="AA212" s="523"/>
      <c r="AB212" s="2110" t="s">
        <v>1716</v>
      </c>
      <c r="AC212" s="2110"/>
      <c r="AD212" s="2110"/>
      <c r="AE212" s="2110"/>
      <c r="AF212" s="2110"/>
      <c r="AG212" s="2110"/>
      <c r="AH212" s="861"/>
      <c r="AI212" s="861"/>
      <c r="AJ212" s="861"/>
      <c r="AK212" s="644"/>
    </row>
    <row r="213" spans="1:37">
      <c r="A213" s="639"/>
      <c r="B213" s="1950" t="s">
        <v>2771</v>
      </c>
      <c r="C213" s="1950"/>
      <c r="D213" s="1950"/>
      <c r="E213" s="1950"/>
      <c r="F213" s="1950"/>
      <c r="G213" s="1950"/>
      <c r="H213" s="886"/>
      <c r="I213" s="1949">
        <v>32</v>
      </c>
      <c r="J213" s="1949"/>
      <c r="K213" s="1949"/>
      <c r="L213" s="1043"/>
      <c r="N213" s="1954">
        <v>1035</v>
      </c>
      <c r="O213" s="1954"/>
      <c r="P213" s="1954"/>
      <c r="Q213" s="1954"/>
      <c r="R213" s="1954"/>
      <c r="T213" s="2108">
        <v>2211</v>
      </c>
      <c r="U213" s="2108"/>
      <c r="V213" s="2108"/>
      <c r="W213" s="2108"/>
      <c r="X213" s="2108"/>
      <c r="Y213" s="2108"/>
      <c r="Z213" s="885"/>
      <c r="AA213" s="885"/>
      <c r="AB213" s="1951">
        <f t="shared" ref="AB213:AB222" si="0">MAX(($T213-$N213)*$I213*12,0)</f>
        <v>451584</v>
      </c>
      <c r="AC213" s="1951"/>
      <c r="AD213" s="1951"/>
      <c r="AE213" s="1951"/>
      <c r="AF213" s="1951"/>
      <c r="AG213" s="1951"/>
      <c r="AH213" s="861"/>
      <c r="AI213" s="861"/>
      <c r="AJ213" s="861"/>
      <c r="AK213" s="644"/>
    </row>
    <row r="214" spans="1:37">
      <c r="A214" s="639"/>
      <c r="B214" s="1950" t="s">
        <v>1291</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1291</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1291</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1291</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1291</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1291</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1291</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1291</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1291</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1">
        <f>SUM(AB213:AB222)</f>
        <v>451584</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451584</v>
      </c>
      <c r="AC239" s="1951"/>
      <c r="AD239" s="1951"/>
      <c r="AE239" s="1951"/>
      <c r="AF239" s="1951"/>
      <c r="AG239" s="1951"/>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429004.79999999999</v>
      </c>
      <c r="AC241" s="1983"/>
      <c r="AD241" s="1983"/>
      <c r="AE241" s="1983"/>
      <c r="AF241" s="1983"/>
      <c r="AG241" s="198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373047.65217391308</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4202759.4707890553</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2.2941992182070034E-2</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40068567.440759957</v>
      </c>
      <c r="AH257" s="1969"/>
      <c r="AI257" s="1969"/>
      <c r="AJ257" s="1969"/>
      <c r="AK257" s="196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73449927.416281417</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0.54</v>
      </c>
      <c r="AH259" s="1970"/>
      <c r="AI259" s="1970"/>
      <c r="AJ259" s="1970"/>
      <c r="AK259" s="1970"/>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1">
        <f>IFERROR(IF(AG259=0,0,IF((AG259*100)&gt;8,8,(AG259*100))),0)</f>
        <v>8</v>
      </c>
      <c r="AL262" s="1971"/>
      <c r="AM262" s="1972"/>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63" t="s">
        <v>554</v>
      </c>
      <c r="D267" s="1963"/>
      <c r="E267" s="581"/>
      <c r="F267" s="2120" t="s">
        <v>2338</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1473</v>
      </c>
      <c r="AH267" s="1964"/>
      <c r="AI267" s="1964"/>
      <c r="AJ267" s="1964"/>
      <c r="AK267" s="584"/>
      <c r="AL267" s="584"/>
      <c r="AM267" s="584"/>
      <c r="AO267" s="584"/>
    </row>
    <row r="268" spans="1:52" ht="13.65"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65"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1">
        <f>IF($C$267="yes",10,0)</f>
        <v>10</v>
      </c>
      <c r="AL274" s="1971"/>
      <c r="AM274" s="1972"/>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5" t="s">
        <v>1492</v>
      </c>
      <c r="B281" s="1675"/>
      <c r="C281" s="1959" t="s">
        <v>600</v>
      </c>
      <c r="D281" s="1963"/>
      <c r="E281" s="581"/>
      <c r="F281" s="1991" t="s">
        <v>1493</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2331</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5" t="s">
        <v>2339</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1494</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1495</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5" t="s">
        <v>1496</v>
      </c>
      <c r="B291" s="1675"/>
      <c r="C291" s="1963" t="s">
        <v>554</v>
      </c>
      <c r="D291" s="1963"/>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7" t="s">
        <v>2333</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5" t="s">
        <v>1499</v>
      </c>
      <c r="B299" s="1675"/>
      <c r="C299" s="1963" t="s">
        <v>600</v>
      </c>
      <c r="D299" s="1963"/>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5" t="s">
        <v>2340</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1291</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1291</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1" t="s">
        <v>1291</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1" t="s">
        <v>1291</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5" t="s">
        <v>1502</v>
      </c>
      <c r="B322" s="1675"/>
      <c r="C322" s="1963" t="s">
        <v>600</v>
      </c>
      <c r="D322" s="1963"/>
      <c r="E322" s="581"/>
      <c r="F322" s="1891" t="s">
        <v>2341</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6">
        <f>IF(NOT(OR(Application!M355="Yes",Application!M356="Yes")),0,AP284)</f>
        <v>9</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0" t="s">
        <v>1424</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1564</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5"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2408</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2570</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1565</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2"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5</v>
      </c>
      <c r="AS346" s="573" t="s">
        <v>1566</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5</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0</v>
      </c>
      <c r="AS348" s="573" t="s">
        <v>1567</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590</v>
      </c>
      <c r="AP350" s="730">
        <f>IF(C396="Yes",5,0)</f>
        <v>0</v>
      </c>
      <c r="AS350" s="573" t="s">
        <v>2069</v>
      </c>
    </row>
    <row r="351" spans="1:46" s="584" customFormat="1" ht="12.75" customHeight="1">
      <c r="A351" s="637"/>
      <c r="B351" s="645"/>
      <c r="C351" s="2027" t="s">
        <v>1568</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0</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773</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593</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5"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5" t="s">
        <v>1569</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465</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470</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4">
        <f>Application!CS660-U363</f>
        <v>79</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9" t="s">
        <v>1571</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554</v>
      </c>
      <c r="D370" s="1963"/>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1573</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9" t="s">
        <v>1574</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554</v>
      </c>
      <c r="D378" s="1963"/>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1573</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9" t="s">
        <v>1576</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600</v>
      </c>
      <c r="D386" s="1963"/>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1578</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600</v>
      </c>
      <c r="D388" s="1963"/>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1573</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9" t="s">
        <v>1582</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600</v>
      </c>
      <c r="D396" s="1963"/>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1573</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600</v>
      </c>
      <c r="D398" s="1963"/>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1585</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600</v>
      </c>
      <c r="D401" s="1963"/>
      <c r="E401" s="749" t="s">
        <v>1586</v>
      </c>
      <c r="F401" s="2009" t="s">
        <v>1587</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1573</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9" t="s">
        <v>1589</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600</v>
      </c>
      <c r="D410" s="1963"/>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1573</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600</v>
      </c>
      <c r="D412" s="1963"/>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1585</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9" t="s">
        <v>1593</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5"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600</v>
      </c>
      <c r="D419" s="1963"/>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1573</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2009" t="s">
        <v>1596</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600</v>
      </c>
      <c r="D431" s="1963"/>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1573</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9" t="s">
        <v>1599</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600</v>
      </c>
      <c r="D438" s="1963"/>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1573</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600</v>
      </c>
      <c r="D442" s="2013"/>
      <c r="E442" s="749" t="s">
        <v>1608</v>
      </c>
      <c r="F442" s="2009" t="s">
        <v>1609</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1573</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7"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600</v>
      </c>
      <c r="D446" s="1963"/>
      <c r="E446" s="749" t="s">
        <v>1614</v>
      </c>
      <c r="F446" s="2009" t="s">
        <v>1615</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1573</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9" t="s">
        <v>1618</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600</v>
      </c>
      <c r="D455" s="1963"/>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1573</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7" t="s">
        <v>1622</v>
      </c>
      <c r="AF461" s="2007"/>
      <c r="AG461" s="2007"/>
      <c r="AH461" s="2007"/>
      <c r="AI461" s="2007"/>
      <c r="AJ461" s="2007"/>
      <c r="AK461" s="2007"/>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2" t="s">
        <v>600</v>
      </c>
      <c r="D467" s="2033"/>
      <c r="E467" s="795" t="s">
        <v>516</v>
      </c>
      <c r="F467" s="2034" t="s">
        <v>1628</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6" t="s">
        <v>600</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7" t="s">
        <v>554</v>
      </c>
      <c r="D471" s="2038"/>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4" t="s">
        <v>600</v>
      </c>
      <c r="W474" s="2044"/>
      <c r="X474" s="204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4" t="s">
        <v>600</v>
      </c>
      <c r="W476" s="2044"/>
      <c r="X476" s="204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4" t="s">
        <v>600</v>
      </c>
      <c r="W481" s="2044"/>
      <c r="X481" s="204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3"/>
      <c r="E484" s="2043"/>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4" t="s">
        <v>600</v>
      </c>
      <c r="W485" s="2044"/>
      <c r="X485" s="204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4" t="s">
        <v>600</v>
      </c>
      <c r="W487" s="2044"/>
      <c r="X487" s="204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600</v>
      </c>
      <c r="D490" s="2033"/>
      <c r="E490" s="795" t="s">
        <v>516</v>
      </c>
      <c r="F490" s="2034" t="s">
        <v>1628</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600</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600</v>
      </c>
      <c r="D494" s="2033"/>
      <c r="E494" s="795" t="s">
        <v>767</v>
      </c>
      <c r="F494" s="2040" t="s">
        <v>1650</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600</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600</v>
      </c>
      <c r="D499" s="203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600</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600</v>
      </c>
      <c r="D504" s="205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600</v>
      </c>
      <c r="D508" s="2058"/>
      <c r="F508" s="829" t="s">
        <v>1658</v>
      </c>
      <c r="G508" s="2010" t="s">
        <v>1659</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600</v>
      </c>
      <c r="D512" s="204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600</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1671</v>
      </c>
      <c r="AF527" s="1900"/>
      <c r="AG527" s="1900"/>
      <c r="AH527" s="1900"/>
      <c r="AI527" s="1900"/>
      <c r="AJ527" s="1900"/>
      <c r="AK527" s="1900"/>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554</v>
      </c>
      <c r="D530" s="1963"/>
      <c r="E530" s="585"/>
      <c r="F530" s="2049" t="s">
        <v>1672</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600</v>
      </c>
      <c r="D533" s="1963"/>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1674</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1675</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43777706</v>
      </c>
      <c r="AQ539" s="2113"/>
      <c r="AR539" s="2113"/>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63590342.991376221</v>
      </c>
      <c r="AG540" s="1969"/>
      <c r="AH540" s="1969"/>
      <c r="AI540" s="1969"/>
      <c r="AJ540" s="196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93024699.800000012</v>
      </c>
      <c r="AG541" s="2118"/>
      <c r="AH541" s="2118"/>
      <c r="AI541" s="2118"/>
      <c r="AJ541" s="2118"/>
      <c r="AK541" s="629"/>
      <c r="AL541" s="629"/>
      <c r="AM541" s="629"/>
      <c r="AN541" s="631"/>
      <c r="AP541" s="2113">
        <f>Application!AJ1044</f>
        <v>29768840.080000002</v>
      </c>
      <c r="AQ541" s="2113"/>
      <c r="AR541" s="2113"/>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0.31</v>
      </c>
      <c r="AG542" s="2119"/>
      <c r="AH542" s="2119"/>
      <c r="AI542" s="2119"/>
      <c r="AJ542" s="2119"/>
      <c r="AK542" s="629"/>
      <c r="AL542" s="629"/>
      <c r="AM542" s="629"/>
      <c r="AN542" s="631"/>
      <c r="AP542" s="2116">
        <f>Application!AJ1048</f>
        <v>27142177.719999999</v>
      </c>
      <c r="AQ542" s="2116"/>
      <c r="AR542" s="2116"/>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0.8</v>
      </c>
      <c r="AQ543" s="2112"/>
      <c r="AR543" s="2112"/>
      <c r="AS543" s="584" t="s">
        <v>2533</v>
      </c>
    </row>
    <row r="544" spans="1:49" s="584" customFormat="1" ht="12.75" customHeight="1">
      <c r="A544" s="658"/>
      <c r="B544" s="2065" t="s">
        <v>2345</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58002535</v>
      </c>
      <c r="AQ545" s="2021"/>
      <c r="AR545" s="2021"/>
      <c r="AS545" s="584" t="s">
        <v>2535</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114913552.8</v>
      </c>
      <c r="AQ546" s="2113"/>
      <c r="AR546" s="2113"/>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4">
        <f>IFERROR(IF(AND(C530="N/A",C533="N/A"),0,IF(AF542=0,0,IF((AF542*100)&gt;12,12,(AF542*100)))),0)</f>
        <v>12</v>
      </c>
      <c r="AL548" s="2074"/>
      <c r="AM548" s="2075"/>
      <c r="AN548" s="631"/>
      <c r="AP548" s="2129">
        <f>AP545+(AP539*AP543)</f>
        <v>93024699.800000012</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1424</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2336</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1448</v>
      </c>
      <c r="AG567" s="1932"/>
      <c r="AH567" s="1932"/>
      <c r="AI567" s="1932"/>
      <c r="AJ567" s="1932"/>
      <c r="AK567" s="1932"/>
      <c r="AL567" s="193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1506</v>
      </c>
      <c r="AG574" s="1932"/>
      <c r="AH574" s="1932"/>
      <c r="AI574" s="1932"/>
      <c r="AJ574" s="1932"/>
      <c r="AK574" s="1932"/>
      <c r="AL574" s="193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1488</v>
      </c>
      <c r="AG580" s="1932"/>
      <c r="AH580" s="1932"/>
      <c r="AI580" s="1932"/>
      <c r="AJ580" s="1932"/>
      <c r="AK580" s="1932"/>
      <c r="AL580" s="193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1509</v>
      </c>
      <c r="AG586" s="1932"/>
      <c r="AH586" s="1932"/>
      <c r="AI586" s="1932"/>
      <c r="AJ586" s="1932"/>
      <c r="AK586" s="1932"/>
      <c r="AL586" s="193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7" t="s">
        <v>1291</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1462</v>
      </c>
      <c r="AG592" s="1932"/>
      <c r="AH592" s="1932"/>
      <c r="AI592" s="1932"/>
      <c r="AJ592" s="1932"/>
      <c r="AK592" s="1932"/>
      <c r="AL592" s="193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5" t="s">
        <v>697</v>
      </c>
      <c r="I595" s="2015"/>
      <c r="J595" s="971"/>
      <c r="K595" s="971"/>
      <c r="L595" s="971"/>
      <c r="N595" s="22"/>
      <c r="O595" s="22"/>
      <c r="P595" s="22"/>
      <c r="Q595" s="1195" t="s">
        <v>2538</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6" t="s">
        <v>600</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9" t="s">
        <v>600</v>
      </c>
      <c r="C605" s="1959"/>
      <c r="D605" s="676"/>
      <c r="E605" s="1986" t="s">
        <v>1513</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6">
        <f>VLOOKUP($H$595,$AO$575:$AP$580,2,FALSE)+IF(R595=AO583,0,VLOOKUP($I$603,$AO$602:$AP$604,2,FALSE))</f>
        <v>7</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4" t="s">
        <v>1883</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1462</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9" t="s">
        <v>600</v>
      </c>
      <c r="Y623" s="1959"/>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1518</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5" t="s">
        <v>697</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6">
        <f>VLOOKUP($H$627,$AO$594:$AP$596,2,FALSE)</f>
        <v>3</v>
      </c>
      <c r="AK629" s="1968"/>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6" t="s">
        <v>2415</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1462</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1518</v>
      </c>
      <c r="AG636" s="1932"/>
      <c r="AH636" s="1932"/>
      <c r="AI636" s="1932"/>
      <c r="AJ636" s="1932"/>
      <c r="AK636" s="1932"/>
      <c r="AL636" s="193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5" t="s">
        <v>600</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6">
        <f>VLOOKUP(H639,AT594:AU596,2,FALSE)</f>
        <v>0</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6" t="s">
        <v>1528</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1488</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6" t="s">
        <v>1529</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1509</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1530</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1462</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600</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6" t="s">
        <v>1531</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1509</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6" t="s">
        <v>1532</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1462</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6" t="s">
        <v>1533</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1518</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6" t="s">
        <v>1534</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1535</v>
      </c>
      <c r="AG670" s="1932"/>
      <c r="AH670" s="1932"/>
      <c r="AI670" s="1932"/>
      <c r="AJ670" s="1932"/>
      <c r="AK670" s="1932"/>
      <c r="AL670" s="1932"/>
      <c r="AM670" s="630"/>
      <c r="AN670" s="631"/>
      <c r="AO670" s="645" t="s">
        <v>697</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5" t="s">
        <v>697</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6">
        <f>VLOOKUP($H$674,$AO$622:$AP$629,2,FALSE)</f>
        <v>5</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79</v>
      </c>
    </row>
    <row r="680" spans="1:51" s="584" customFormat="1" ht="12.75" customHeight="1">
      <c r="A680" s="713"/>
      <c r="B680" s="570"/>
      <c r="C680" s="983"/>
      <c r="D680" s="697" t="s">
        <v>697</v>
      </c>
      <c r="E680" s="2022" t="s">
        <v>2551</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1462</v>
      </c>
      <c r="AG680" s="1932"/>
      <c r="AH680" s="1932"/>
      <c r="AI680" s="1932"/>
      <c r="AJ680" s="1932"/>
      <c r="AK680" s="1932"/>
      <c r="AL680" s="1932"/>
      <c r="AN680" s="631"/>
      <c r="AW680" s="22" t="s">
        <v>2546</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6" t="s">
        <v>2452</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1462</v>
      </c>
      <c r="AG683" s="1932"/>
      <c r="AH683" s="1932"/>
      <c r="AI683" s="1932"/>
      <c r="AJ683" s="1932"/>
      <c r="AK683" s="1932"/>
      <c r="AL683" s="1932"/>
      <c r="AN683" s="631"/>
      <c r="AW683" s="22" t="s">
        <v>2549</v>
      </c>
      <c r="AX683" s="584">
        <f>AX680+AX681+AX682</f>
        <v>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2550</v>
      </c>
      <c r="AX684" s="584">
        <f>IFERROR(AX683/AX679,0)</f>
        <v>0</v>
      </c>
      <c r="AY684" s="584">
        <f>IFERROR(AX683/(AX679-AX678),0)</f>
        <v>0</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6" t="s">
        <v>2453</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1518</v>
      </c>
      <c r="AG688" s="1932"/>
      <c r="AH688" s="1932"/>
      <c r="AI688" s="1932"/>
      <c r="AJ688" s="1932"/>
      <c r="AK688" s="1932"/>
      <c r="AL688" s="1932"/>
      <c r="AN688" s="631"/>
      <c r="AO688" s="645" t="s">
        <v>518</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6" t="s">
        <v>1882</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5" t="s">
        <v>600</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6">
        <f>VLOOKUP($H$698,$AO$692:$AP$695,2,FALSE)</f>
        <v>0</v>
      </c>
      <c r="AK700" s="1968"/>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3" t="s">
        <v>1884</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1462</v>
      </c>
      <c r="AG704" s="1932"/>
      <c r="AH704" s="1932"/>
      <c r="AI704" s="1932"/>
      <c r="AJ704" s="1932"/>
      <c r="AK704" s="1932"/>
      <c r="AL704" s="1932"/>
      <c r="AM704" s="584"/>
      <c r="AN704" s="718"/>
      <c r="AP704" s="604" t="s">
        <v>1542</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4" t="s">
        <v>1545</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1518</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2015" t="s">
        <v>697</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6">
        <f>VLOOKUP($H$712,$AP$709:$AQ$711,2,FALSE)</f>
        <v>3</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6" t="s">
        <v>1885</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1462</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6" t="s">
        <v>1549</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1518</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5" t="s">
        <v>600</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6" t="s">
        <v>1552</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1462</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6" t="s">
        <v>1553</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1518</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5" t="s">
        <v>600</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6">
        <f>VLOOKUP($H$740,$AO$669:$AP$671,2,FALSE)</f>
        <v>0</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6" t="s">
        <v>1555</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1518</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6" t="s">
        <v>1556</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1535</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5" t="s">
        <v>518</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6">
        <f>VLOOKUP($H$752,$AO$686:$AP$688,2,FALSE)</f>
        <v>1</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86" t="s">
        <v>1881</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1518</v>
      </c>
      <c r="AG758" s="1932"/>
      <c r="AH758" s="1932"/>
      <c r="AI758" s="1932"/>
      <c r="AJ758" s="1932"/>
      <c r="AK758" s="1932"/>
      <c r="AL758" s="1932"/>
      <c r="AM758" s="647"/>
      <c r="AN758" s="718"/>
      <c r="AO758" s="584" t="s">
        <v>600</v>
      </c>
      <c r="AP758" s="707">
        <v>0</v>
      </c>
    </row>
    <row r="759" spans="1:74" s="604" customFormat="1" ht="13.65"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5" t="s">
        <v>1886</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1462</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5" t="s">
        <v>600</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86" t="s">
        <v>2346</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1462</v>
      </c>
      <c r="AG774" s="1932"/>
      <c r="AH774" s="1932"/>
      <c r="AI774" s="1932"/>
      <c r="AJ774" s="1932"/>
      <c r="AK774" s="1932"/>
      <c r="AL774" s="1932"/>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5" t="s">
        <v>554</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6">
        <f>VLOOKUP($H$779,$AO$773:$AP$774,2,FALSE)</f>
        <v>3</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1679</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1680</v>
      </c>
      <c r="U791" s="2080"/>
      <c r="V791" s="2080"/>
      <c r="W791" s="2080"/>
      <c r="X791" s="2080"/>
      <c r="Y791" s="2081"/>
      <c r="Z791" s="2079" t="s">
        <v>1681</v>
      </c>
      <c r="AA791" s="2080"/>
      <c r="AB791" s="2080"/>
      <c r="AC791" s="2080"/>
      <c r="AD791" s="2080"/>
      <c r="AE791" s="2081"/>
      <c r="AF791" s="2079" t="s">
        <v>1682</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767</v>
      </c>
      <c r="B793" s="2059" t="s">
        <v>1414</v>
      </c>
      <c r="C793" s="2059"/>
      <c r="D793" s="2059"/>
      <c r="E793" s="2059"/>
      <c r="F793" s="2059"/>
      <c r="G793" s="2059"/>
      <c r="H793" s="2059"/>
      <c r="I793" s="2059"/>
      <c r="J793" s="2059"/>
      <c r="K793" s="2059"/>
      <c r="L793" s="2059"/>
      <c r="M793" s="2059"/>
      <c r="N793" s="2059"/>
      <c r="O793" s="2059"/>
      <c r="P793" s="2059"/>
      <c r="Q793" s="2059"/>
      <c r="R793" s="2059"/>
      <c r="S793" s="2060"/>
      <c r="T793" s="2061">
        <f>AK56</f>
        <v>0</v>
      </c>
      <c r="U793" s="2062"/>
      <c r="V793" s="2062"/>
      <c r="W793" s="2062"/>
      <c r="X793" s="2062"/>
      <c r="Y793" s="2063"/>
      <c r="Z793" s="2064">
        <v>20</v>
      </c>
      <c r="AA793" s="2062"/>
      <c r="AB793" s="2062"/>
      <c r="AC793" s="2062"/>
      <c r="AD793" s="2062"/>
      <c r="AE793" s="2063"/>
      <c r="AF793" s="2028">
        <f>IF(T793&gt;Z793,Z793,T793)</f>
        <v>0</v>
      </c>
      <c r="AG793" s="2028"/>
      <c r="AH793" s="2028"/>
      <c r="AI793" s="2028"/>
      <c r="AJ793" s="2028"/>
      <c r="AK793" s="2028"/>
      <c r="AL793" s="852"/>
      <c r="AM793" s="630"/>
      <c r="AO793" s="850"/>
      <c r="AP793" s="850"/>
      <c r="AQ793" s="850"/>
    </row>
    <row r="794" spans="1:43">
      <c r="A794" s="853" t="s">
        <v>1652</v>
      </c>
      <c r="B794" s="2059" t="s">
        <v>1423</v>
      </c>
      <c r="C794" s="2059"/>
      <c r="D794" s="2059"/>
      <c r="E794" s="2059"/>
      <c r="F794" s="2059"/>
      <c r="G794" s="2059"/>
      <c r="H794" s="2059"/>
      <c r="I794" s="2059"/>
      <c r="J794" s="2059"/>
      <c r="K794" s="2059"/>
      <c r="L794" s="2059"/>
      <c r="M794" s="2059"/>
      <c r="N794" s="2059"/>
      <c r="O794" s="2059"/>
      <c r="P794" s="2059"/>
      <c r="Q794" s="2059"/>
      <c r="R794" s="2059"/>
      <c r="S794" s="2060"/>
      <c r="T794" s="2061">
        <f>AK78</f>
        <v>10</v>
      </c>
      <c r="U794" s="2062"/>
      <c r="V794" s="2062"/>
      <c r="W794" s="2062"/>
      <c r="X794" s="2062"/>
      <c r="Y794" s="2063"/>
      <c r="Z794" s="2064">
        <v>10</v>
      </c>
      <c r="AA794" s="2062"/>
      <c r="AB794" s="2062"/>
      <c r="AC794" s="2062"/>
      <c r="AD794" s="2062"/>
      <c r="AE794" s="2063"/>
      <c r="AF794" s="2028">
        <f>IF(T794&gt;Z794,Z794,T794)</f>
        <v>10</v>
      </c>
      <c r="AG794" s="2028"/>
      <c r="AH794" s="2028"/>
      <c r="AI794" s="2028"/>
      <c r="AJ794" s="2028"/>
      <c r="AK794" s="2028"/>
      <c r="AL794" s="852"/>
      <c r="AM794" s="630"/>
      <c r="AO794" s="850"/>
      <c r="AP794" s="850"/>
      <c r="AQ794" s="850"/>
    </row>
    <row r="795" spans="1:43">
      <c r="A795" s="853" t="s">
        <v>1661</v>
      </c>
      <c r="B795" s="2059" t="s">
        <v>1433</v>
      </c>
      <c r="C795" s="2059"/>
      <c r="D795" s="2059"/>
      <c r="E795" s="2059"/>
      <c r="F795" s="2059"/>
      <c r="G795" s="2059"/>
      <c r="H795" s="2059"/>
      <c r="I795" s="2059"/>
      <c r="J795" s="2059"/>
      <c r="K795" s="2059"/>
      <c r="L795" s="2059"/>
      <c r="M795" s="2059"/>
      <c r="N795" s="2059"/>
      <c r="O795" s="2059"/>
      <c r="P795" s="2059"/>
      <c r="Q795" s="2059"/>
      <c r="R795" s="2059"/>
      <c r="S795" s="2060"/>
      <c r="T795" s="2061">
        <f>AK103</f>
        <v>20</v>
      </c>
      <c r="U795" s="2062"/>
      <c r="V795" s="2062"/>
      <c r="W795" s="2062"/>
      <c r="X795" s="2062"/>
      <c r="Y795" s="2063"/>
      <c r="Z795" s="2064">
        <v>20</v>
      </c>
      <c r="AA795" s="2062"/>
      <c r="AB795" s="2062"/>
      <c r="AC795" s="2062"/>
      <c r="AD795" s="2062"/>
      <c r="AE795" s="2063"/>
      <c r="AF795" s="2028">
        <f>IF(T795&gt;Z795,Z795,T795)</f>
        <v>20</v>
      </c>
      <c r="AG795" s="2028"/>
      <c r="AH795" s="2028"/>
      <c r="AI795" s="2028"/>
      <c r="AJ795" s="2028"/>
      <c r="AK795" s="2028"/>
      <c r="AL795" s="852"/>
      <c r="AM795" s="630"/>
      <c r="AO795" s="850"/>
      <c r="AP795" s="850"/>
      <c r="AQ795" s="850"/>
    </row>
    <row r="796" spans="1:43">
      <c r="A796" s="853" t="s">
        <v>1683</v>
      </c>
      <c r="B796" s="2059" t="s">
        <v>1443</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1684</v>
      </c>
      <c r="B797" s="2059" t="s">
        <v>1685</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1686</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1687</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1471</v>
      </c>
      <c r="B800" s="2059" t="s">
        <v>1688</v>
      </c>
      <c r="C800" s="2059"/>
      <c r="D800" s="2059"/>
      <c r="E800" s="2059"/>
      <c r="F800" s="2059"/>
      <c r="G800" s="2059"/>
      <c r="H800" s="2059"/>
      <c r="I800" s="2059"/>
      <c r="J800" s="2059"/>
      <c r="K800" s="2059"/>
      <c r="L800" s="2059"/>
      <c r="M800" s="2059"/>
      <c r="N800" s="2059"/>
      <c r="O800" s="2059"/>
      <c r="P800" s="2059"/>
      <c r="Q800" s="2059"/>
      <c r="R800" s="2059"/>
      <c r="S800" s="2060"/>
      <c r="T800" s="2085">
        <f>AK180</f>
        <v>10</v>
      </c>
      <c r="U800" s="2085"/>
      <c r="V800" s="2085"/>
      <c r="W800" s="2085"/>
      <c r="X800" s="2085"/>
      <c r="Y800" s="2085"/>
      <c r="Z800" s="2028">
        <v>10</v>
      </c>
      <c r="AA800" s="2028"/>
      <c r="AB800" s="2028"/>
      <c r="AC800" s="2028"/>
      <c r="AD800" s="2028"/>
      <c r="AE800" s="2028"/>
      <c r="AF800" s="2028">
        <f>IF(T800&gt;Z800,Z800,T800)</f>
        <v>10</v>
      </c>
      <c r="AG800" s="2028"/>
      <c r="AH800" s="2028"/>
      <c r="AI800" s="2028"/>
      <c r="AJ800" s="2028"/>
      <c r="AK800" s="2028"/>
      <c r="AL800" s="852"/>
      <c r="AM800" s="630"/>
    </row>
    <row r="801" spans="1:81">
      <c r="A801" s="853" t="s">
        <v>1480</v>
      </c>
      <c r="B801" s="2059" t="s">
        <v>1481</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598</v>
      </c>
      <c r="B802" s="2059" t="s">
        <v>1689</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9" t="s">
        <v>1690</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9" t="s">
        <v>1491</v>
      </c>
      <c r="C804" s="2059"/>
      <c r="D804" s="2059"/>
      <c r="E804" s="2059"/>
      <c r="F804" s="2059"/>
      <c r="G804" s="2059"/>
      <c r="H804" s="2059"/>
      <c r="I804" s="2059"/>
      <c r="J804" s="2059"/>
      <c r="K804" s="2059"/>
      <c r="L804" s="2059"/>
      <c r="M804" s="2059"/>
      <c r="N804" s="2059"/>
      <c r="O804" s="2059"/>
      <c r="P804" s="2059"/>
      <c r="Q804" s="2059"/>
      <c r="R804" s="2059"/>
      <c r="S804" s="2060"/>
      <c r="T804" s="2085">
        <f>AK327</f>
        <v>9</v>
      </c>
      <c r="U804" s="2085"/>
      <c r="V804" s="2085"/>
      <c r="W804" s="2085"/>
      <c r="X804" s="2085"/>
      <c r="Y804" s="2085"/>
      <c r="Z804" s="2091">
        <v>10</v>
      </c>
      <c r="AA804" s="2092"/>
      <c r="AB804" s="2092"/>
      <c r="AC804" s="2092"/>
      <c r="AD804" s="2092"/>
      <c r="AE804" s="2093"/>
      <c r="AF804" s="2091">
        <f>IF(T804&gt;Z804,Z804,T804)</f>
        <v>9</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1">
        <f>AK327</f>
        <v>9</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9" t="s">
        <v>857</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9" t="s">
        <v>1670</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9" t="s">
        <v>1692</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1693</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1694</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2094" t="s">
        <v>1695</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SUM(AF793:AK808)-AF809</f>
        <v>119</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3" workbookViewId="0">
      <selection activeCell="H4" sqref="H4"/>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53" t="s">
        <v>1696</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24951180</v>
      </c>
      <c r="I3" s="1145"/>
    </row>
    <row r="4" spans="1:13" s="1086" customFormat="1" ht="20.100000000000001" customHeight="1">
      <c r="B4" s="1134"/>
      <c r="D4" s="1148"/>
      <c r="F4" s="1132" t="s">
        <v>2301</v>
      </c>
      <c r="G4" s="1131" t="s">
        <v>2300</v>
      </c>
      <c r="H4" s="1133">
        <f>I16</f>
        <v>29936777.01506266</v>
      </c>
      <c r="I4" s="1135"/>
      <c r="K4" s="1090"/>
    </row>
    <row r="5" spans="1:13" s="1086" customFormat="1" ht="20.100000000000001" customHeight="1" thickBot="1">
      <c r="B5" s="1136"/>
      <c r="C5" s="1137"/>
      <c r="D5" s="1149"/>
      <c r="E5" s="1138"/>
      <c r="F5" s="1149" t="s">
        <v>2241</v>
      </c>
      <c r="G5" s="1150"/>
      <c r="H5" s="1146">
        <f>H3/H4</f>
        <v>0.8334624661648059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2239</v>
      </c>
      <c r="C8" s="2156"/>
      <c r="D8" s="2156"/>
      <c r="E8" s="2157"/>
      <c r="G8" s="2158" t="s">
        <v>2240</v>
      </c>
      <c r="H8" s="2159"/>
      <c r="I8" s="2160"/>
      <c r="K8" s="1092"/>
    </row>
    <row r="9" spans="1:13" ht="15" customHeight="1">
      <c r="A9" s="1081"/>
      <c r="B9" s="2154" t="s">
        <v>2278</v>
      </c>
      <c r="C9" s="2154"/>
      <c r="D9" s="2154"/>
      <c r="E9" s="1094">
        <f>G31</f>
        <v>3950000</v>
      </c>
      <c r="G9" s="2163" t="s">
        <v>2276</v>
      </c>
      <c r="H9" s="2163"/>
      <c r="I9" s="1095">
        <f>Application!AM554</f>
        <v>39194154.526084818</v>
      </c>
      <c r="K9" s="1096"/>
      <c r="M9" s="1097"/>
    </row>
    <row r="10" spans="1:13" ht="15" customHeight="1" thickBot="1">
      <c r="A10" s="1081"/>
      <c r="B10" s="2154" t="s">
        <v>2279</v>
      </c>
      <c r="C10" s="2154"/>
      <c r="D10" s="2154"/>
      <c r="E10" s="1095">
        <f>G40</f>
        <v>13536180</v>
      </c>
      <c r="G10" s="2163" t="s">
        <v>2242</v>
      </c>
      <c r="H10" s="2163"/>
      <c r="I10" s="1182">
        <f>'Basis &amp; Credits'!AB78</f>
        <v>0</v>
      </c>
      <c r="M10" s="1097"/>
    </row>
    <row r="11" spans="1:13" ht="15" customHeight="1">
      <c r="A11" s="1098"/>
      <c r="B11" s="2154" t="s">
        <v>2280</v>
      </c>
      <c r="C11" s="2154"/>
      <c r="D11" s="2154"/>
      <c r="E11" s="1095">
        <f>G49</f>
        <v>250000</v>
      </c>
      <c r="G11" s="2163" t="s">
        <v>2291</v>
      </c>
      <c r="H11" s="2163"/>
      <c r="I11" s="1181">
        <f>I9+I10</f>
        <v>39194154.526084818</v>
      </c>
      <c r="M11" s="1097"/>
    </row>
    <row r="12" spans="1:13" ht="15" customHeight="1">
      <c r="A12" s="1084"/>
      <c r="B12" s="2154" t="s">
        <v>2281</v>
      </c>
      <c r="C12" s="2154"/>
      <c r="D12" s="2154"/>
      <c r="E12" s="1095">
        <f>G58</f>
        <v>500000</v>
      </c>
      <c r="G12" s="1183" t="s">
        <v>2316</v>
      </c>
      <c r="H12" s="1184"/>
      <c r="M12" s="1097"/>
    </row>
    <row r="13" spans="1:13" ht="15" customHeight="1">
      <c r="A13" s="1081"/>
      <c r="B13" s="2154" t="s">
        <v>2282</v>
      </c>
      <c r="C13" s="2154"/>
      <c r="D13" s="2154"/>
      <c r="E13" s="1100">
        <f>G83</f>
        <v>5135000</v>
      </c>
      <c r="G13" s="2164" t="s">
        <v>139</v>
      </c>
      <c r="H13" s="2164"/>
      <c r="I13" s="1099">
        <f>15%*(AND(G111="Yes",G113&lt;&gt;""))</f>
        <v>0.15</v>
      </c>
      <c r="M13" s="1097"/>
    </row>
    <row r="14" spans="1:13" ht="15" customHeight="1">
      <c r="A14" s="1081"/>
      <c r="B14" s="2154" t="s">
        <v>2283</v>
      </c>
      <c r="C14" s="2154"/>
      <c r="D14" s="2154"/>
      <c r="E14" s="1095">
        <f>IF(G96&gt;G106,G96,0)</f>
        <v>0</v>
      </c>
      <c r="G14" s="1179" t="s">
        <v>2292</v>
      </c>
      <c r="H14" s="1179"/>
      <c r="I14" s="1099">
        <f>IF(Application!AJ1031&gt;0,10%,IF(Application!AJ1035&gt;0,5%,0))</f>
        <v>0</v>
      </c>
      <c r="M14" s="1097"/>
    </row>
    <row r="15" spans="1:13" ht="15" customHeight="1" thickBot="1">
      <c r="A15" s="1081"/>
      <c r="B15" s="2161" t="s">
        <v>2302</v>
      </c>
      <c r="C15" s="2161"/>
      <c r="D15" s="2161"/>
      <c r="E15" s="1151">
        <f>IF(E14&gt;0,0,G106)</f>
        <v>1580000</v>
      </c>
      <c r="G15" s="2167" t="s">
        <v>2293</v>
      </c>
      <c r="H15" s="2168"/>
      <c r="I15" s="1153">
        <f>G123</f>
        <v>8.6192810457516339E-2</v>
      </c>
      <c r="M15" s="1097"/>
    </row>
    <row r="16" spans="1:13" ht="15" customHeight="1">
      <c r="A16" s="1081"/>
      <c r="B16" s="2162" t="s">
        <v>2238</v>
      </c>
      <c r="C16" s="2162"/>
      <c r="D16" s="2162"/>
      <c r="E16" s="1152">
        <f>SUM(E9:E15)</f>
        <v>24951180</v>
      </c>
      <c r="G16" s="1180" t="s">
        <v>2277</v>
      </c>
      <c r="H16" s="1180"/>
      <c r="I16" s="1154">
        <f>I11-((I11*I13)+(I11*I14)+(I11*I15))</f>
        <v>29936777.01506266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591</v>
      </c>
      <c r="P18" s="1079">
        <f>MATCH(Application!T189,Application!BV490:BV547,0)</f>
        <v>1</v>
      </c>
      <c r="S18" s="1101">
        <f>SUM(Cdlac[Population])</f>
        <v>25</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5" t="s">
        <v>2295</v>
      </c>
      <c r="D20" s="2165" t="s">
        <v>2296</v>
      </c>
      <c r="E20" s="2165" t="s">
        <v>2297</v>
      </c>
      <c r="F20" s="2165" t="s">
        <v>2298</v>
      </c>
      <c r="G20" s="2165" t="s">
        <v>2294</v>
      </c>
      <c r="H20" s="1108"/>
      <c r="I20" s="1107"/>
      <c r="L20" s="1079">
        <f>IFERROR(MIN(4,MATCH(Application!B718,UnitSizes,0)-1),"")</f>
        <v>1</v>
      </c>
      <c r="M20" s="1101">
        <f>Application!G718</f>
        <v>21</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21</v>
      </c>
      <c r="T20" s="1079" t="b">
        <f>AND('Subsidy Contract Calculation'!F4&gt;0,'Subsidy Contract Calculation'!C4="Federal",Cdlac[[#This Row],[Quantity]]&gt;0)</f>
        <v>1</v>
      </c>
    </row>
    <row r="21" spans="1:20" ht="15" customHeight="1">
      <c r="A21" s="1084"/>
      <c r="C21" s="2166"/>
      <c r="D21" s="2166"/>
      <c r="E21" s="2166"/>
      <c r="F21" s="2166"/>
      <c r="G21" s="2166"/>
      <c r="H21" s="1108"/>
      <c r="I21" s="1107"/>
      <c r="L21" s="1079">
        <f>IFERROR(MIN(4,MATCH(Application!B719,UnitSizes,0)-1),"")</f>
        <v>1</v>
      </c>
      <c r="M21" s="1101">
        <f>Application!G719</f>
        <v>8</v>
      </c>
      <c r="N21" s="1109">
        <f>Application!AC719</f>
        <v>0.4</v>
      </c>
      <c r="O21" s="1109">
        <f>IF(Cdlac[[#This Row],[Quantity]]&gt;0,IF(Cdlac[[#This Row],[Federal]],30%,IF($G$36,40%,Cdlac[[#This Row],[iAMI]])),"")</f>
        <v>0.3</v>
      </c>
      <c r="P21" s="1101" cm="1">
        <f t="array" ref="P21">IF(Cdlac[[#This Row],[Quantity]]&gt;0,INDEX(TcacRents,$P$18,Cdlac[[#This Row],[Bedrooms]]+1)*Cdlac[[#This Row],[AMI]],"")</f>
        <v>876</v>
      </c>
      <c r="Q21" s="1101" cm="1">
        <f t="array" ref="Q21">IF(Cdlac[[#This Row],[Quantity]]&gt;0,INDEX(HudFmrs,$P$18,Cdlac[[#This Row],[Bedrooms]]+1),"")</f>
        <v>2131</v>
      </c>
      <c r="R21" s="1101">
        <f>IF(Cdlac[[#This Row],[Quantity]]&gt;0,MAX(0,Cdlac[[#This Row],[Fair Market Rent]]-Cdlac[[#This Row],[Restricted Rent]]),"")</f>
        <v>1255</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0.5</v>
      </c>
      <c r="O22" s="1109">
        <f>IF(Cdlac[[#This Row],[Quantity]]&gt;0,IF(Cdlac[[#This Row],[Federal]],30%,IF($G$36,40%,Cdlac[[#This Row],[iAMI]])),"")</f>
        <v>0.3</v>
      </c>
      <c r="P22" s="1101" cm="1">
        <f t="array" ref="P22">IF(Cdlac[[#This Row],[Quantity]]&gt;0,INDEX(TcacRents,$P$18,Cdlac[[#This Row],[Bedrooms]]+1)*Cdlac[[#This Row],[AMI]],"")</f>
        <v>876</v>
      </c>
      <c r="Q22" s="1101" cm="1">
        <f t="array" ref="Q22">IF(Cdlac[[#This Row],[Quantity]]&gt;0,INDEX(HudFmrs,$P$18,Cdlac[[#This Row],[Bedrooms]]+1),"")</f>
        <v>2131</v>
      </c>
      <c r="R22" s="1101">
        <f>IF(Cdlac[[#This Row],[Quantity]]&gt;0,MAX(0,Cdlac[[#This Row],[Fair Market Rent]]-Cdlac[[#This Row],[Restricted Rent]]),"")</f>
        <v>1255</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79</v>
      </c>
      <c r="F23" s="1110">
        <f>E23</f>
        <v>79</v>
      </c>
      <c r="G23" s="1110">
        <f>D23*F23</f>
        <v>79</v>
      </c>
      <c r="L23" s="1079">
        <f>IFERROR(MIN(4,MATCH(Application!B721,UnitSizes,0)-1),"")</f>
        <v>1</v>
      </c>
      <c r="M23" s="1101">
        <f>Application!G721</f>
        <v>4</v>
      </c>
      <c r="N23" s="1109">
        <f>Application!AC721</f>
        <v>0.3</v>
      </c>
      <c r="O23" s="1109">
        <f>IF(Cdlac[[#This Row],[Quantity]]&gt;0,IF(Cdlac[[#This Row],[Federal]],30%,IF($G$36,40%,Cdlac[[#This Row],[iAMI]])),"")</f>
        <v>0.3</v>
      </c>
      <c r="P23" s="1101" cm="1">
        <f t="array" ref="P23">IF(Cdlac[[#This Row],[Quantity]]&gt;0,INDEX(TcacRents,$P$18,Cdlac[[#This Row],[Bedrooms]]+1)*Cdlac[[#This Row],[AMI]],"")</f>
        <v>876</v>
      </c>
      <c r="Q23" s="1101" cm="1">
        <f t="array" ref="Q23">IF(Cdlac[[#This Row],[Quantity]]&gt;0,INDEX(HudFmrs,$P$18,Cdlac[[#This Row],[Bedrooms]]+1),"")</f>
        <v>2131</v>
      </c>
      <c r="R23" s="1101">
        <f>IF(Cdlac[[#This Row],[Quantity]]&gt;0,MAX(0,Cdlac[[#This Row],[Fair Market Rent]]-Cdlac[[#This Row],[Restricted Rent]]),"")</f>
        <v>1255</v>
      </c>
      <c r="S23" s="1079">
        <f>IF(Cdlac[[#This Row],[Quantity]]&gt;0,AND(Application!AK721&lt;&gt;"N/A",Application!AK721&lt;&gt;"")*Cdlac[[#This Row],[Quantity]],"")</f>
        <v>4</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4</v>
      </c>
      <c r="N24" s="1109">
        <f>Application!AC722</f>
        <v>0.4</v>
      </c>
      <c r="O24" s="1109">
        <f>IF(Cdlac[[#This Row],[Quantity]]&gt;0,IF(Cdlac[[#This Row],[Federal]],30%,IF($G$36,40%,Cdlac[[#This Row],[iAMI]])),"")</f>
        <v>0.4</v>
      </c>
      <c r="P24" s="1101" cm="1">
        <f t="array" ref="P24">IF(Cdlac[[#This Row],[Quantity]]&gt;0,INDEX(TcacRents,$P$18,Cdlac[[#This Row],[Bedrooms]]+1)*Cdlac[[#This Row],[AMI]],"")</f>
        <v>1168</v>
      </c>
      <c r="Q24" s="1101" cm="1">
        <f t="array" ref="Q24">IF(Cdlac[[#This Row],[Quantity]]&gt;0,INDEX(HudFmrs,$P$18,Cdlac[[#This Row],[Bedrooms]]+1),"")</f>
        <v>2131</v>
      </c>
      <c r="R24" s="1101">
        <f>IF(Cdlac[[#This Row],[Quantity]]&gt;0,MAX(0,Cdlac[[#This Row],[Fair Market Rent]]-Cdlac[[#This Row],[Restricted Rent]]),"")</f>
        <v>963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39</v>
      </c>
      <c r="N25" s="1109">
        <f>Application!AC723</f>
        <v>0.5</v>
      </c>
      <c r="O25" s="1109">
        <f>IF(Cdlac[[#This Row],[Quantity]]&gt;0,IF(Cdlac[[#This Row],[Federal]],30%,IF($G$36,40%,Cdlac[[#This Row],[iAMI]])),"")</f>
        <v>0.5</v>
      </c>
      <c r="P25" s="1101" cm="1">
        <f t="array" ref="P25">IF(Cdlac[[#This Row],[Quantity]]&gt;0,INDEX(TcacRents,$P$18,Cdlac[[#This Row],[Bedrooms]]+1)*Cdlac[[#This Row],[AMI]],"")</f>
        <v>1460</v>
      </c>
      <c r="Q25" s="1101" cm="1">
        <f t="array" ref="Q25">IF(Cdlac[[#This Row],[Quantity]]&gt;0,INDEX(HudFmrs,$P$18,Cdlac[[#This Row],[Bedrooms]]+1),"")</f>
        <v>2131</v>
      </c>
      <c r="R25" s="1101">
        <f>IF(Cdlac[[#This Row],[Quantity]]&gt;0,MAX(0,Cdlac[[#This Row],[Fair Market Rent]]-Cdlac[[#This Row],[Restricted Rent]]),"")</f>
        <v>671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9" t="s">
        <v>1697</v>
      </c>
      <c r="D27" s="2150"/>
      <c r="E27" s="1129">
        <f>SUM(E22:E26)</f>
        <v>79</v>
      </c>
      <c r="F27" s="1129">
        <f>SUM(F22:F26)</f>
        <v>79</v>
      </c>
      <c r="G27" s="1130">
        <f>SUMPRODUCT(D22:D26,F22:F26)</f>
        <v>79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3950000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0.474468085106383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75201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13536180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25</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25</v>
      </c>
    </row>
    <row r="48" spans="2:20" ht="15" customHeight="1">
      <c r="E48" s="1159" t="s">
        <v>2246</v>
      </c>
      <c r="F48" s="1155" t="s">
        <v>2303</v>
      </c>
      <c r="G48" s="1166">
        <v>10000</v>
      </c>
    </row>
    <row r="49" spans="2:14" ht="15" customHeight="1">
      <c r="E49" s="1160" t="s">
        <v>2286</v>
      </c>
      <c r="F49" s="1081"/>
      <c r="G49" s="1165">
        <f>G47*G48</f>
        <v>250000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25</v>
      </c>
    </row>
    <row r="54" spans="2:14" ht="15" customHeight="1">
      <c r="E54" s="1159" t="s">
        <v>2305</v>
      </c>
      <c r="G54" s="1117">
        <f>ROUNDDOWN(E27*50%,0)</f>
        <v>39</v>
      </c>
    </row>
    <row r="55" spans="2:14" ht="15" customHeight="1">
      <c r="E55" s="1159"/>
      <c r="G55" s="1117"/>
    </row>
    <row r="56" spans="2:14" ht="15" customHeight="1">
      <c r="E56" s="1159" t="s">
        <v>2256</v>
      </c>
      <c r="G56" s="1156">
        <f>MIN(G53:G54)</f>
        <v>25</v>
      </c>
    </row>
    <row r="57" spans="2:14" ht="15" customHeight="1">
      <c r="E57" s="1159" t="s">
        <v>2246</v>
      </c>
      <c r="F57" s="1155" t="s">
        <v>2303</v>
      </c>
      <c r="G57" s="1166">
        <v>20000</v>
      </c>
    </row>
    <row r="58" spans="2:14" ht="15" customHeight="1">
      <c r="E58" s="1160" t="s">
        <v>2285</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1" t="s">
        <v>1515</v>
      </c>
      <c r="N62" s="2152"/>
    </row>
    <row r="63" spans="2:14" ht="15" customHeight="1">
      <c r="E63" s="1124" t="s">
        <v>2246</v>
      </c>
      <c r="F63" s="1155" t="s">
        <v>2303</v>
      </c>
      <c r="G63" s="1114">
        <v>4000</v>
      </c>
      <c r="L63" s="1170" t="str">
        <f>'Points System'!H639</f>
        <v>N/A</v>
      </c>
      <c r="M63" s="2143" t="s">
        <v>2260</v>
      </c>
      <c r="N63" s="2144"/>
    </row>
    <row r="64" spans="2:14" ht="15" customHeight="1">
      <c r="E64" s="1124" t="s">
        <v>2307</v>
      </c>
      <c r="F64" s="1155" t="s">
        <v>2303</v>
      </c>
      <c r="G64" s="1168">
        <f>G27</f>
        <v>79</v>
      </c>
      <c r="L64" s="1170" t="str">
        <f>'Points System'!H674</f>
        <v>(i)</v>
      </c>
      <c r="M64" s="2143" t="s">
        <v>2261</v>
      </c>
      <c r="N64" s="2144"/>
    </row>
    <row r="65" spans="2:14" ht="15" customHeight="1">
      <c r="E65" s="1160" t="s">
        <v>2265</v>
      </c>
      <c r="F65" s="1081"/>
      <c r="G65" s="1165">
        <f>G62*G63*G64</f>
        <v>2212000</v>
      </c>
      <c r="L65" s="1170" t="str">
        <f>IF(OR('Points System'!H698="(ii)",'Points System'!H698="(i)"),"(i)","N/A")</f>
        <v>N/A</v>
      </c>
      <c r="M65" s="2143" t="s">
        <v>2262</v>
      </c>
      <c r="N65" s="2144"/>
    </row>
    <row r="66" spans="2:14" ht="15" customHeight="1">
      <c r="C66" s="1115"/>
      <c r="G66" s="1156"/>
      <c r="L66" s="1171" t="str">
        <f>'Points System'!H712</f>
        <v>(i)</v>
      </c>
      <c r="M66" s="2143" t="s">
        <v>1541</v>
      </c>
      <c r="N66" s="2144"/>
    </row>
    <row r="67" spans="2:14" ht="15" customHeight="1">
      <c r="E67" s="1124" t="s">
        <v>2308</v>
      </c>
      <c r="G67" s="1168">
        <f>COUNTIFS(L62:L69,"(i)")</f>
        <v>3</v>
      </c>
      <c r="L67" s="1170" t="str">
        <f>'Points System'!H724</f>
        <v>N/A</v>
      </c>
      <c r="M67" s="2143" t="s">
        <v>2263</v>
      </c>
      <c r="N67" s="2144"/>
    </row>
    <row r="68" spans="2:14" ht="15" customHeight="1">
      <c r="E68" s="1124" t="s">
        <v>2246</v>
      </c>
      <c r="F68" s="1155" t="s">
        <v>2303</v>
      </c>
      <c r="G68" s="1166">
        <v>4000</v>
      </c>
      <c r="L68" s="1170" t="str">
        <f>'Points System'!H740</f>
        <v>N/A</v>
      </c>
      <c r="M68" s="2143" t="s">
        <v>2264</v>
      </c>
      <c r="N68" s="2144"/>
    </row>
    <row r="69" spans="2:14" ht="15" customHeight="1" thickBot="1">
      <c r="E69" s="1160" t="s">
        <v>2266</v>
      </c>
      <c r="F69" s="1081"/>
      <c r="G69" s="1165">
        <f>G64*G67*G68</f>
        <v>948000</v>
      </c>
      <c r="L69" s="1172" t="str">
        <f>'Points System'!H752</f>
        <v>(ii)</v>
      </c>
      <c r="M69" s="2145" t="s">
        <v>1544</v>
      </c>
      <c r="N69" s="214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79</v>
      </c>
    </row>
    <row r="80" spans="2:14" ht="15" customHeight="1">
      <c r="E80" s="1124" t="s">
        <v>2246</v>
      </c>
      <c r="F80" s="1155" t="s">
        <v>2303</v>
      </c>
      <c r="G80" s="1166">
        <v>25000</v>
      </c>
    </row>
    <row r="81" spans="2:14" ht="15" customHeight="1">
      <c r="E81" s="1160" t="s">
        <v>2267</v>
      </c>
      <c r="F81" s="1081"/>
      <c r="G81" s="1165">
        <f>G77*G80*G64</f>
        <v>1975000</v>
      </c>
    </row>
    <row r="82" spans="2:14" ht="15" customHeight="1">
      <c r="C82" s="1115"/>
      <c r="E82" s="1115"/>
    </row>
    <row r="83" spans="2:14" ht="15" customHeight="1">
      <c r="E83" s="1160" t="s">
        <v>2244</v>
      </c>
      <c r="G83" s="1165">
        <f>G81+G69+G65</f>
        <v>5135000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7" t="s">
        <v>2273</v>
      </c>
      <c r="M87" s="2148"/>
      <c r="N87" s="1173">
        <v>30000</v>
      </c>
    </row>
    <row r="88" spans="2:14" ht="15" customHeight="1">
      <c r="C88" s="1115" t="s">
        <v>2290</v>
      </c>
      <c r="G88" s="1119" t="str">
        <f>IF(Application!D211="Large Family","Yes","No")</f>
        <v>No</v>
      </c>
      <c r="L88" s="2139" t="s">
        <v>2237</v>
      </c>
      <c r="M88" s="2140"/>
      <c r="N88" s="1174">
        <v>20000</v>
      </c>
    </row>
    <row r="89" spans="2:14" ht="15" customHeight="1" thickBot="1">
      <c r="C89" s="1115" t="s">
        <v>2271</v>
      </c>
      <c r="G89" s="1078" t="s">
        <v>678</v>
      </c>
      <c r="L89" s="2141" t="s">
        <v>2274</v>
      </c>
      <c r="M89" s="2142"/>
      <c r="N89" s="1175">
        <v>10000</v>
      </c>
    </row>
    <row r="90" spans="2:14" ht="15" customHeight="1">
      <c r="C90" s="1115" t="s">
        <v>2272</v>
      </c>
      <c r="G90" s="1079" t="str">
        <f>Application!T193</f>
        <v>High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20000</v>
      </c>
    </row>
    <row r="95" spans="2:14" ht="15" customHeight="1">
      <c r="E95" s="1124" t="str">
        <f>E64</f>
        <v>Bedroom-Adjusted Low-Income Units</v>
      </c>
      <c r="F95" s="1155" t="s">
        <v>2303</v>
      </c>
      <c r="G95" s="1156">
        <f>G27</f>
        <v>79</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79</v>
      </c>
    </row>
    <row r="105" spans="2:9" ht="15" customHeight="1">
      <c r="E105" s="1124" t="s">
        <v>2246</v>
      </c>
      <c r="F105" s="1155" t="s">
        <v>2303</v>
      </c>
      <c r="G105" s="1085">
        <v>20000</v>
      </c>
    </row>
    <row r="106" spans="2:9" ht="15" customHeight="1">
      <c r="E106" s="1160" t="s">
        <v>2275</v>
      </c>
      <c r="F106" s="1081"/>
      <c r="G106" s="1165">
        <f>G102*G105*G104</f>
        <v>1580000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6" t="s">
        <v>2638</v>
      </c>
      <c r="D110" s="2136"/>
      <c r="E110" s="2136"/>
      <c r="F110" s="2136"/>
    </row>
    <row r="111" spans="2:9" ht="15" customHeight="1">
      <c r="C111" s="2136"/>
      <c r="D111" s="2136"/>
      <c r="E111" s="2136"/>
      <c r="F111" s="2136"/>
      <c r="G111" s="1078" t="s">
        <v>554</v>
      </c>
    </row>
    <row r="112" spans="2:9" ht="15" customHeight="1"/>
    <row r="113" spans="2:9" ht="15" customHeight="1">
      <c r="C113" s="1079" t="s">
        <v>2641</v>
      </c>
      <c r="G113" s="2137" t="s">
        <v>2772</v>
      </c>
      <c r="H113" s="2137"/>
    </row>
    <row r="114" spans="2:9" ht="15" customHeight="1">
      <c r="G114" s="2137"/>
      <c r="H114" s="2137"/>
    </row>
    <row r="115" spans="2:9" ht="15" customHeight="1">
      <c r="G115" s="2138"/>
      <c r="H115" s="2138"/>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Navarrette, DC</cp:lastModifiedBy>
  <cp:lastPrinted>2022-06-02T00:41:49Z</cp:lastPrinted>
  <dcterms:created xsi:type="dcterms:W3CDTF">2007-12-27T18:26:28Z</dcterms:created>
  <dcterms:modified xsi:type="dcterms:W3CDTF">2024-09-03T21:42:00Z</dcterms:modified>
</cp:coreProperties>
</file>